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codeName="DieseArbeitsmappe" autoCompressPictures="0" defaultThemeVersion="124226"/>
  <mc:AlternateContent xmlns:mc="http://schemas.openxmlformats.org/markup-compatibility/2006">
    <mc:Choice Requires="x15">
      <x15ac:absPath xmlns:x15ac="http://schemas.microsoft.com/office/spreadsheetml/2010/11/ac" url="H:\ASQ\Documents\"/>
    </mc:Choice>
  </mc:AlternateContent>
  <bookViews>
    <workbookView xWindow="-15" yWindow="-15" windowWidth="12600" windowHeight="12045" tabRatio="786"/>
  </bookViews>
  <sheets>
    <sheet name="Rules for PPA" sheetId="19" r:id="rId1"/>
    <sheet name="Cover" sheetId="3" r:id="rId2"/>
    <sheet name="Content" sheetId="12" r:id="rId3"/>
    <sheet name="Product" sheetId="5" r:id="rId4"/>
    <sheet name="P-FMEA" sheetId="24" r:id="rId5"/>
    <sheet name="Process Capability" sheetId="14" r:id="rId6"/>
    <sheet name="Measurement Equipment" sheetId="16" r:id="rId7"/>
    <sheet name="Softwareprüfbericht Blatt1" sheetId="7" state="hidden" r:id="rId8"/>
    <sheet name="Softwareprüfbericht Blatt2" sheetId="8" state="hidden" r:id="rId9"/>
    <sheet name="Softwareprüfbericht Blatt3" sheetId="9" state="hidden" r:id="rId10"/>
    <sheet name="Tool List" sheetId="30" r:id="rId11"/>
    <sheet name="Capacity Confirmation" sheetId="31" r:id="rId12"/>
    <sheet name="Self Assessment Process" sheetId="13" r:id="rId13"/>
    <sheet name="Self Assessment Product" sheetId="29" r:id="rId14"/>
    <sheet name="Part History" sheetId="15" r:id="rId15"/>
    <sheet name="Packaging" sheetId="32" r:id="rId16"/>
    <sheet name="PPA Status Supply Chain" sheetId="18" r:id="rId17"/>
    <sheet name="Anlage 7" sheetId="11" state="hidden" r:id="rId18"/>
    <sheet name="Translations" sheetId="10" state="hidden" r:id="rId19"/>
  </sheets>
  <externalReferences>
    <externalReference r:id="rId20"/>
  </externalReferences>
  <definedNames>
    <definedName name="_xlnm.Print_Area" localSheetId="1">Cover!$A$1:$DO$73</definedName>
    <definedName name="_xlnm.Print_Area" localSheetId="14">'Part History'!$A$1:$AN$55</definedName>
    <definedName name="_xlnm.Print_Area" localSheetId="5">'Process Capability'!$A$1:$AN$86</definedName>
    <definedName name="_xlnm.Print_Area" localSheetId="7">'Softwareprüfbericht Blatt1'!$A$1:$AU$75</definedName>
  </definedNames>
  <calcPr calcId="152511"/>
  <customWorkbookViews>
    <customWorkbookView name="Mário Kajan – osobní zobrazení" guid="{C19E9C51-470E-4D3B-836B-DD1DFD0BC608}" mergeInterval="0" personalView="1" maximized="1" windowWidth="1596" windowHeight="678" activeSheetId="4"/>
  </customWorkbookViews>
  <extLst>
    <ext xmlns:mx="http://schemas.microsoft.com/office/mac/excel/2008/main" uri="{7523E5D3-25F3-A5E0-1632-64F254C22452}">
      <mx:ArchID Flags="2"/>
    </ext>
  </extLst>
</workbook>
</file>

<file path=xl/calcChain.xml><?xml version="1.0" encoding="utf-8"?>
<calcChain xmlns="http://schemas.openxmlformats.org/spreadsheetml/2006/main">
  <c r="X80" i="31" l="1"/>
  <c r="P97" i="31"/>
  <c r="P95" i="31"/>
  <c r="P93" i="31"/>
  <c r="U50" i="31"/>
  <c r="U48" i="31"/>
  <c r="U46" i="31"/>
  <c r="U44" i="31"/>
  <c r="B67" i="31"/>
  <c r="B65" i="31"/>
  <c r="Q68" i="31"/>
  <c r="Q66" i="31"/>
  <c r="X50" i="31"/>
  <c r="B55" i="13" l="1"/>
  <c r="B55" i="29"/>
  <c r="K55" i="15"/>
  <c r="A34" i="9" l="1"/>
  <c r="A19" i="9"/>
  <c r="A93" i="9"/>
  <c r="A87" i="9"/>
  <c r="W85" i="9"/>
  <c r="W70" i="9"/>
  <c r="W55" i="9"/>
  <c r="W40" i="9"/>
  <c r="W25" i="9"/>
  <c r="P85" i="9"/>
  <c r="P70" i="9"/>
  <c r="P55" i="9"/>
  <c r="P40" i="9"/>
  <c r="P25" i="9"/>
  <c r="A25" i="9"/>
  <c r="A72" i="9"/>
  <c r="A57" i="9"/>
  <c r="A42" i="9"/>
  <c r="A27" i="9"/>
  <c r="A85" i="9"/>
  <c r="A70" i="9"/>
  <c r="A55" i="9"/>
  <c r="A40" i="9"/>
  <c r="A83" i="9"/>
  <c r="A68" i="9"/>
  <c r="A53" i="9"/>
  <c r="A38" i="9"/>
  <c r="A23" i="9"/>
  <c r="A66" i="9"/>
  <c r="A51" i="9"/>
  <c r="A36" i="9"/>
  <c r="A21" i="9"/>
  <c r="P21" i="9"/>
  <c r="W81" i="9"/>
  <c r="W66" i="9"/>
  <c r="W51" i="9"/>
  <c r="W36" i="9"/>
  <c r="W21" i="9"/>
  <c r="P81" i="9"/>
  <c r="P66" i="9"/>
  <c r="P51" i="9"/>
  <c r="P36" i="9"/>
  <c r="A4" i="9"/>
  <c r="A16" i="9"/>
  <c r="A13" i="9"/>
  <c r="P9" i="9"/>
  <c r="P4" i="9"/>
  <c r="A4" i="8"/>
  <c r="AM110" i="8"/>
  <c r="B110" i="8"/>
  <c r="A102" i="8"/>
  <c r="A99" i="8"/>
  <c r="A81" i="8"/>
  <c r="AI78" i="8"/>
  <c r="P78" i="8"/>
  <c r="A78" i="8"/>
  <c r="A75" i="8"/>
  <c r="A73" i="8"/>
  <c r="A52" i="8"/>
  <c r="AT54" i="8"/>
  <c r="AN54" i="8"/>
  <c r="AH54" i="8"/>
  <c r="AB54" i="8"/>
  <c r="V54" i="8"/>
  <c r="P54" i="8"/>
  <c r="A45" i="8"/>
  <c r="A54" i="8"/>
  <c r="AU33" i="8"/>
  <c r="AH33" i="8"/>
  <c r="AB33" i="8"/>
  <c r="V33" i="8"/>
  <c r="P33" i="8"/>
  <c r="A42" i="8"/>
  <c r="A39" i="8"/>
  <c r="A36" i="8"/>
  <c r="A33" i="8"/>
  <c r="A31" i="8"/>
  <c r="A27" i="8"/>
  <c r="A24" i="8"/>
  <c r="A21" i="8"/>
  <c r="A18" i="8"/>
  <c r="A16" i="8"/>
  <c r="A13" i="8"/>
  <c r="P9" i="8"/>
  <c r="O8" i="7"/>
  <c r="P4" i="8"/>
  <c r="A13" i="7"/>
  <c r="AI3" i="7"/>
  <c r="O3" i="7"/>
  <c r="AI75" i="7"/>
  <c r="B75" i="7"/>
  <c r="A71" i="7"/>
  <c r="A66" i="7"/>
  <c r="A62" i="7"/>
  <c r="A58" i="7"/>
  <c r="A54" i="7"/>
  <c r="A50" i="7"/>
  <c r="A46" i="7"/>
  <c r="A42" i="7"/>
  <c r="AN42" i="7"/>
  <c r="AF42" i="7"/>
  <c r="U42" i="7"/>
  <c r="K42" i="7"/>
  <c r="A41" i="7"/>
  <c r="A33" i="7"/>
  <c r="A36" i="7"/>
  <c r="A34" i="7"/>
  <c r="A32" i="7"/>
  <c r="A31" i="7"/>
  <c r="A26" i="7"/>
  <c r="A21" i="7"/>
  <c r="A19" i="7"/>
  <c r="A18" i="7"/>
  <c r="AN17" i="7"/>
  <c r="AF17" i="7"/>
  <c r="V17" i="7"/>
  <c r="P17" i="7"/>
  <c r="G17" i="7"/>
  <c r="X13" i="7"/>
  <c r="AB40" i="15"/>
  <c r="K32" i="15" l="1"/>
  <c r="H37" i="15"/>
  <c r="A55" i="15" l="1"/>
  <c r="E40" i="15"/>
  <c r="A54" i="15"/>
  <c r="K54" i="15"/>
  <c r="N40" i="15"/>
  <c r="R40" i="15"/>
  <c r="L40" i="15"/>
  <c r="A40" i="15"/>
  <c r="A40" i="16"/>
  <c r="A40" i="30" l="1"/>
  <c r="AC40" i="30"/>
  <c r="B95" i="13" l="1"/>
  <c r="P100" i="31" l="1"/>
  <c r="K32" i="18" l="1"/>
  <c r="G5" i="29"/>
  <c r="G5" i="13"/>
  <c r="E5" i="30"/>
  <c r="G5" i="31"/>
  <c r="G5" i="30"/>
  <c r="B53" i="3" l="1"/>
  <c r="D101" i="29" l="1"/>
  <c r="W96" i="29"/>
  <c r="W105" i="13"/>
  <c r="C110" i="13"/>
  <c r="M100" i="13"/>
  <c r="B106" i="31"/>
  <c r="A107" i="12"/>
  <c r="D44" i="31"/>
  <c r="B108" i="31"/>
  <c r="A61" i="31"/>
  <c r="A40" i="31"/>
  <c r="D100" i="31"/>
  <c r="C97" i="31"/>
  <c r="U42" i="31"/>
  <c r="U77" i="31"/>
  <c r="U74" i="31"/>
  <c r="U73" i="31"/>
  <c r="U72" i="31"/>
  <c r="U71" i="31"/>
  <c r="G38" i="29" l="1"/>
  <c r="G96" i="29"/>
  <c r="G105" i="13"/>
  <c r="C91" i="31" l="1"/>
  <c r="C93" i="31"/>
  <c r="C95" i="31"/>
  <c r="N87" i="31"/>
  <c r="E46" i="31"/>
  <c r="X48" i="31"/>
  <c r="G81" i="13" l="1"/>
  <c r="AC60" i="13"/>
  <c r="AC100" i="13"/>
  <c r="AC99" i="13"/>
  <c r="M99" i="13"/>
  <c r="G100" i="13"/>
  <c r="G99" i="13"/>
  <c r="AC96" i="13"/>
  <c r="AC95" i="13"/>
  <c r="M96" i="13"/>
  <c r="M95" i="13"/>
  <c r="AC91" i="13"/>
  <c r="AC90" i="13"/>
  <c r="M91" i="13"/>
  <c r="G91" i="13"/>
  <c r="G90" i="13"/>
  <c r="G87" i="13"/>
  <c r="M87" i="13"/>
  <c r="M86" i="13"/>
  <c r="G86" i="13"/>
  <c r="M82" i="13"/>
  <c r="M81" i="13"/>
  <c r="G83" i="13"/>
  <c r="AC77" i="13"/>
  <c r="AC76" i="13"/>
  <c r="M77" i="13"/>
  <c r="M76" i="13"/>
  <c r="G77" i="13"/>
  <c r="G76" i="13"/>
  <c r="M72" i="13"/>
  <c r="M67" i="13"/>
  <c r="M71" i="13"/>
  <c r="M66" i="13"/>
  <c r="G67" i="13"/>
  <c r="G66" i="13"/>
  <c r="AC59" i="13"/>
  <c r="M60" i="13"/>
  <c r="M59" i="13"/>
  <c r="G61" i="13"/>
  <c r="G59" i="13"/>
  <c r="G85" i="29"/>
  <c r="AC86" i="29"/>
  <c r="AC84" i="29"/>
  <c r="G84" i="29"/>
  <c r="M78" i="29"/>
  <c r="G78" i="29"/>
  <c r="M79" i="29"/>
  <c r="G79" i="29"/>
  <c r="AC74" i="29"/>
  <c r="AC69" i="29"/>
  <c r="M75" i="29"/>
  <c r="M73" i="29"/>
  <c r="G74" i="29"/>
  <c r="G73" i="29"/>
  <c r="AC70" i="29"/>
  <c r="M70" i="29"/>
  <c r="M69" i="29"/>
  <c r="G70" i="29"/>
  <c r="G69" i="29"/>
  <c r="M65" i="29"/>
  <c r="M64" i="29"/>
  <c r="G65" i="29"/>
  <c r="G64" i="29"/>
  <c r="M59" i="29"/>
  <c r="M60" i="29"/>
  <c r="G60" i="29"/>
  <c r="G59" i="29"/>
  <c r="A33" i="32" l="1"/>
  <c r="A2" i="32"/>
  <c r="AG5" i="32"/>
  <c r="Z5" i="32"/>
  <c r="H5" i="32"/>
  <c r="E5" i="32"/>
  <c r="N43" i="29"/>
  <c r="N43" i="13"/>
  <c r="K32" i="16"/>
  <c r="BX37" i="3"/>
  <c r="T138" i="5"/>
  <c r="T135" i="5"/>
  <c r="T132" i="5"/>
  <c r="A133" i="5"/>
  <c r="A131" i="5"/>
  <c r="E40" i="5"/>
  <c r="AQ40" i="5"/>
  <c r="AM40" i="5"/>
  <c r="AB42" i="5"/>
  <c r="U42" i="5"/>
  <c r="U40" i="5"/>
  <c r="K41" i="5"/>
  <c r="K40" i="5"/>
  <c r="A40" i="5"/>
  <c r="E40" i="14"/>
  <c r="AG147" i="5"/>
  <c r="A2" i="5"/>
  <c r="F5" i="5"/>
  <c r="I5" i="5"/>
  <c r="AF5" i="5"/>
  <c r="AM5" i="5"/>
  <c r="L32" i="5"/>
  <c r="AF32" i="5"/>
  <c r="I33" i="5"/>
  <c r="H34" i="5"/>
  <c r="H35" i="5"/>
  <c r="H36" i="5"/>
  <c r="I37" i="5"/>
  <c r="H38" i="5"/>
  <c r="V29" i="15" l="1"/>
  <c r="V29" i="32"/>
  <c r="V29" i="16"/>
  <c r="F105" i="12"/>
  <c r="V29" i="31"/>
  <c r="V29" i="18"/>
  <c r="V29" i="29"/>
  <c r="V29" i="13"/>
  <c r="V29" i="30"/>
  <c r="V29" i="14"/>
  <c r="V29" i="24"/>
  <c r="BU35" i="3"/>
  <c r="U26" i="32" s="1"/>
  <c r="Q65" i="31" l="1"/>
  <c r="Q67" i="31" s="1"/>
  <c r="E50" i="31"/>
  <c r="D52" i="31"/>
  <c r="A2" i="31"/>
  <c r="E5" i="31"/>
  <c r="Y5" i="31"/>
  <c r="AF5" i="31"/>
  <c r="K32" i="31"/>
  <c r="Y32" i="31"/>
  <c r="I33" i="31"/>
  <c r="G34" i="31"/>
  <c r="G35" i="31"/>
  <c r="G36" i="31"/>
  <c r="H37" i="31"/>
  <c r="G38" i="31"/>
  <c r="P104" i="31" l="1"/>
  <c r="P103" i="31"/>
  <c r="P102" i="31"/>
  <c r="P101" i="31"/>
  <c r="R80" i="31"/>
  <c r="R83" i="31"/>
  <c r="R85" i="31"/>
  <c r="C87" i="31"/>
  <c r="C89" i="31"/>
  <c r="C83" i="31"/>
  <c r="C80" i="31"/>
  <c r="C85" i="31"/>
  <c r="C74" i="31"/>
  <c r="B70" i="31"/>
  <c r="I66" i="31"/>
  <c r="K77" i="31"/>
  <c r="M77" i="31"/>
  <c r="B77" i="31"/>
  <c r="C73" i="31"/>
  <c r="C72" i="31"/>
  <c r="C71" i="31"/>
  <c r="K52" i="31"/>
  <c r="M66" i="31"/>
  <c r="B62" i="31"/>
  <c r="D58" i="31"/>
  <c r="D56" i="31"/>
  <c r="D54" i="31"/>
  <c r="E48" i="31" l="1"/>
  <c r="K58" i="31"/>
  <c r="K54" i="31"/>
  <c r="D42" i="31"/>
  <c r="N80" i="31" l="1"/>
  <c r="N83" i="31"/>
  <c r="M56" i="31"/>
  <c r="I54" i="31"/>
  <c r="X46" i="31"/>
  <c r="Q44" i="31"/>
  <c r="I58" i="31" s="1"/>
  <c r="M58" i="31" s="1"/>
  <c r="N85" i="31" l="1"/>
  <c r="L100" i="31" s="1"/>
  <c r="I52" i="31"/>
  <c r="M52" i="31" s="1"/>
  <c r="L101" i="31" l="1"/>
  <c r="L102" i="31" s="1"/>
  <c r="L104" i="31" s="1"/>
  <c r="L103" i="31" l="1"/>
  <c r="AK40" i="30"/>
  <c r="AE40" i="30"/>
  <c r="AE42" i="30"/>
  <c r="I40" i="30"/>
  <c r="G40" i="30"/>
  <c r="Z40" i="30"/>
  <c r="W40" i="30"/>
  <c r="P40" i="30"/>
  <c r="B77" i="13"/>
  <c r="E29" i="3"/>
  <c r="Y32" i="14" l="1"/>
  <c r="G38" i="14"/>
  <c r="H37" i="14"/>
  <c r="G36" i="14"/>
  <c r="G35" i="14"/>
  <c r="G34" i="14"/>
  <c r="I33" i="14"/>
  <c r="K32" i="14"/>
  <c r="Y32" i="16"/>
  <c r="H37" i="16"/>
  <c r="G38" i="16"/>
  <c r="G36" i="16"/>
  <c r="G35" i="16"/>
  <c r="G34" i="16"/>
  <c r="I33" i="16"/>
  <c r="Y32" i="15"/>
  <c r="G38" i="15"/>
  <c r="G36" i="15"/>
  <c r="G35" i="15"/>
  <c r="G34" i="15"/>
  <c r="I33" i="15"/>
  <c r="Y32" i="30"/>
  <c r="G38" i="30"/>
  <c r="H37" i="30"/>
  <c r="G36" i="30"/>
  <c r="G35" i="30"/>
  <c r="G34" i="30"/>
  <c r="I33" i="30"/>
  <c r="K32" i="30"/>
  <c r="K32" i="29"/>
  <c r="I33" i="29"/>
  <c r="G34" i="29"/>
  <c r="G35" i="29"/>
  <c r="G36" i="29"/>
  <c r="H37" i="29"/>
  <c r="Y32" i="29"/>
  <c r="Y32" i="13"/>
  <c r="G38" i="13"/>
  <c r="H37" i="13"/>
  <c r="G36" i="13"/>
  <c r="G35" i="13"/>
  <c r="G34" i="13"/>
  <c r="I33" i="13"/>
  <c r="K32" i="13"/>
  <c r="U26" i="31"/>
  <c r="I8" i="12"/>
  <c r="I7" i="12"/>
  <c r="I6" i="12"/>
  <c r="J5" i="12"/>
  <c r="K4" i="12"/>
  <c r="X4" i="12"/>
  <c r="G35" i="24"/>
  <c r="G34" i="24"/>
  <c r="I33" i="24"/>
  <c r="K32" i="24"/>
  <c r="Y32" i="24"/>
  <c r="G36" i="24"/>
  <c r="H37" i="24"/>
  <c r="G38" i="24"/>
  <c r="AE5" i="30"/>
  <c r="X5" i="30"/>
  <c r="A2" i="30"/>
  <c r="U26" i="30" l="1"/>
  <c r="U26" i="24"/>
  <c r="U26" i="16"/>
  <c r="U26" i="14"/>
  <c r="BU33" i="3"/>
  <c r="E21" i="12"/>
  <c r="D16" i="5" s="1"/>
  <c r="BU31" i="3"/>
  <c r="U20" i="13" s="1"/>
  <c r="BU29" i="3"/>
  <c r="BU27" i="3"/>
  <c r="BU25" i="3"/>
  <c r="BU23" i="3"/>
  <c r="AB37" i="3"/>
  <c r="AB35" i="3"/>
  <c r="AB33" i="3"/>
  <c r="AB31" i="3"/>
  <c r="AB29" i="3"/>
  <c r="AB27" i="3"/>
  <c r="AB25" i="3"/>
  <c r="AB23" i="3"/>
  <c r="I101" i="29"/>
  <c r="B39" i="13"/>
  <c r="B39" i="29"/>
  <c r="AC90" i="29"/>
  <c r="M90" i="29"/>
  <c r="G90" i="29"/>
  <c r="B90" i="29"/>
  <c r="M84" i="29"/>
  <c r="A2" i="29"/>
  <c r="AC78" i="29"/>
  <c r="B84" i="29"/>
  <c r="B78" i="29"/>
  <c r="B73" i="29"/>
  <c r="AC73" i="29"/>
  <c r="B59" i="29"/>
  <c r="B71" i="29"/>
  <c r="B64" i="29"/>
  <c r="AC64" i="29"/>
  <c r="AC59" i="29"/>
  <c r="B70" i="29"/>
  <c r="B69" i="29"/>
  <c r="B46" i="29"/>
  <c r="AC58" i="29"/>
  <c r="M58" i="29"/>
  <c r="G58" i="29"/>
  <c r="M53" i="29"/>
  <c r="B53" i="29"/>
  <c r="B51" i="29"/>
  <c r="N48" i="29"/>
  <c r="A48" i="29"/>
  <c r="B43" i="29"/>
  <c r="N41" i="29"/>
  <c r="A41" i="29"/>
  <c r="B45" i="3"/>
  <c r="Q8" i="12" s="1"/>
  <c r="Q7" i="12"/>
  <c r="B43" i="3"/>
  <c r="B42" i="3"/>
  <c r="A7" i="12" s="1"/>
  <c r="BO42" i="3"/>
  <c r="A6" i="12" s="1"/>
  <c r="Q5" i="12"/>
  <c r="U41" i="3"/>
  <c r="A5" i="12" s="1"/>
  <c r="BO41" i="3"/>
  <c r="Q4" i="12" s="1"/>
  <c r="B41" i="3"/>
  <c r="A4" i="12" s="1"/>
  <c r="AF5" i="29"/>
  <c r="Y5" i="29"/>
  <c r="E5" i="29"/>
  <c r="B61" i="13"/>
  <c r="B53" i="13"/>
  <c r="P53" i="13"/>
  <c r="I110" i="13"/>
  <c r="B99" i="13"/>
  <c r="AC66" i="13"/>
  <c r="B90" i="13"/>
  <c r="G95" i="13"/>
  <c r="A2" i="13"/>
  <c r="B76" i="13"/>
  <c r="B51" i="13"/>
  <c r="M90" i="13"/>
  <c r="AC86" i="13"/>
  <c r="AC81" i="13"/>
  <c r="B66" i="13"/>
  <c r="G71" i="13"/>
  <c r="AC71" i="13"/>
  <c r="B71" i="13"/>
  <c r="B72" i="13"/>
  <c r="B46" i="13"/>
  <c r="B59" i="13"/>
  <c r="B60" i="13"/>
  <c r="AC58" i="13"/>
  <c r="M58" i="13"/>
  <c r="G58" i="13"/>
  <c r="A48" i="13"/>
  <c r="N48" i="13"/>
  <c r="N41" i="13"/>
  <c r="B43" i="13"/>
  <c r="A41" i="13"/>
  <c r="E5" i="13"/>
  <c r="Y5" i="13"/>
  <c r="AF5" i="13"/>
  <c r="R71" i="14"/>
  <c r="A70" i="14"/>
  <c r="BU6" i="3"/>
  <c r="B46" i="3"/>
  <c r="AH47" i="3"/>
  <c r="AH12" i="3"/>
  <c r="AH10" i="3"/>
  <c r="BW14" i="3"/>
  <c r="BW12" i="3"/>
  <c r="BW10" i="3"/>
  <c r="BW8" i="3"/>
  <c r="E25" i="3"/>
  <c r="E15" i="12" s="1"/>
  <c r="D10" i="5" s="1"/>
  <c r="E23" i="3"/>
  <c r="E12" i="12" s="1"/>
  <c r="D7" i="5" s="1"/>
  <c r="A63" i="16"/>
  <c r="A62" i="16"/>
  <c r="A72" i="16"/>
  <c r="AA40" i="14"/>
  <c r="A64" i="24"/>
  <c r="A48" i="24"/>
  <c r="A53" i="24"/>
  <c r="G64" i="24"/>
  <c r="G63" i="24"/>
  <c r="G62" i="24"/>
  <c r="G61" i="24"/>
  <c r="G60" i="24"/>
  <c r="A60" i="24"/>
  <c r="A66" i="24"/>
  <c r="A58" i="24"/>
  <c r="A65" i="24"/>
  <c r="A63" i="24"/>
  <c r="A62" i="24"/>
  <c r="A61" i="24"/>
  <c r="A59" i="24"/>
  <c r="AK56" i="24"/>
  <c r="K56" i="24"/>
  <c r="E56" i="24"/>
  <c r="A54" i="24"/>
  <c r="V54" i="24"/>
  <c r="A51" i="24"/>
  <c r="A50" i="24"/>
  <c r="A49" i="24"/>
  <c r="A47" i="24"/>
  <c r="A46" i="24"/>
  <c r="A45" i="24"/>
  <c r="A44" i="24"/>
  <c r="A43" i="24"/>
  <c r="A42" i="24"/>
  <c r="A41" i="24"/>
  <c r="A40" i="24"/>
  <c r="AM40" i="24"/>
  <c r="AK40" i="24"/>
  <c r="A2" i="24"/>
  <c r="AG5" i="24"/>
  <c r="Z5" i="24"/>
  <c r="H5" i="24"/>
  <c r="E5" i="24"/>
  <c r="B51" i="3"/>
  <c r="B5" i="19"/>
  <c r="B2" i="19"/>
  <c r="A40" i="18"/>
  <c r="Z40" i="16"/>
  <c r="AG40" i="16"/>
  <c r="AF40" i="15"/>
  <c r="AB42" i="18"/>
  <c r="J40" i="14"/>
  <c r="O40" i="14"/>
  <c r="O41" i="14"/>
  <c r="R41" i="14"/>
  <c r="X42" i="18"/>
  <c r="L42" i="18"/>
  <c r="A42" i="18"/>
  <c r="G38" i="18"/>
  <c r="H37" i="18"/>
  <c r="G36" i="18"/>
  <c r="G35" i="18"/>
  <c r="G34" i="18"/>
  <c r="I33" i="18"/>
  <c r="Y32" i="18"/>
  <c r="AG5" i="18"/>
  <c r="Z5" i="18"/>
  <c r="H5" i="18"/>
  <c r="E5" i="18"/>
  <c r="A2" i="18"/>
  <c r="E40" i="16"/>
  <c r="N40" i="16"/>
  <c r="AG5" i="16"/>
  <c r="Z5" i="16"/>
  <c r="H5" i="16"/>
  <c r="E5" i="16"/>
  <c r="A2" i="16"/>
  <c r="X40" i="15"/>
  <c r="Y5" i="15"/>
  <c r="AG5" i="15"/>
  <c r="H5" i="15"/>
  <c r="E5" i="15"/>
  <c r="A2" i="15"/>
  <c r="A40" i="14"/>
  <c r="R77" i="14"/>
  <c r="R74" i="14"/>
  <c r="A69" i="14"/>
  <c r="AF5" i="14"/>
  <c r="Y5" i="14"/>
  <c r="H5" i="14"/>
  <c r="E5" i="14"/>
  <c r="A2" i="14"/>
  <c r="A1" i="12"/>
  <c r="E6" i="3"/>
  <c r="A3" i="7" s="1"/>
  <c r="N55" i="3"/>
  <c r="N54" i="3"/>
  <c r="N56" i="3"/>
  <c r="Q56" i="3"/>
  <c r="T56" i="3"/>
  <c r="L47" i="3"/>
  <c r="A111" i="12" s="1"/>
  <c r="A144" i="5" s="1"/>
  <c r="T144" i="5" s="1"/>
  <c r="U42" i="3"/>
  <c r="BO44" i="3"/>
  <c r="BO43" i="3"/>
  <c r="B1" i="3"/>
  <c r="U43" i="3"/>
  <c r="M6" i="3"/>
  <c r="A8" i="7" s="1"/>
  <c r="M25" i="3"/>
  <c r="Z10" i="5" s="1"/>
  <c r="B73" i="3"/>
  <c r="B67" i="3"/>
  <c r="A10" i="12"/>
  <c r="B4" i="3"/>
  <c r="U10" i="12"/>
  <c r="B19" i="3"/>
  <c r="BY67" i="3"/>
  <c r="AM67" i="3"/>
  <c r="V67" i="3"/>
  <c r="M67" i="3"/>
  <c r="B64" i="3"/>
  <c r="B61" i="3"/>
  <c r="B58" i="3"/>
  <c r="B54" i="3"/>
  <c r="L50" i="3"/>
  <c r="S70" i="3" s="1"/>
  <c r="BC51" i="3"/>
  <c r="BD71" i="3" s="1"/>
  <c r="N114" i="12" s="1"/>
  <c r="I147" i="5" s="1"/>
  <c r="X51" i="3"/>
  <c r="AC71" i="3" s="1"/>
  <c r="A114" i="12" s="1"/>
  <c r="B50" i="3"/>
  <c r="B70" i="3" s="1"/>
  <c r="A110" i="12" s="1"/>
  <c r="B47" i="3"/>
  <c r="B69" i="3" s="1"/>
  <c r="A109" i="12" s="1"/>
  <c r="BO45" i="3"/>
  <c r="U45" i="3"/>
  <c r="U44" i="3"/>
  <c r="B40" i="3"/>
  <c r="B20" i="3"/>
  <c r="M37" i="3"/>
  <c r="M35" i="3"/>
  <c r="Z25" i="5" s="1"/>
  <c r="M33" i="3"/>
  <c r="M31" i="3"/>
  <c r="M29" i="3"/>
  <c r="Z16" i="5" s="1"/>
  <c r="M27" i="3"/>
  <c r="M23" i="3"/>
  <c r="E37" i="3"/>
  <c r="E33" i="12" s="1"/>
  <c r="D28" i="5" s="1"/>
  <c r="E35" i="3"/>
  <c r="E30" i="12" s="1"/>
  <c r="D25" i="5" s="1"/>
  <c r="E33" i="3"/>
  <c r="E27" i="12" s="1"/>
  <c r="D22" i="5" s="1"/>
  <c r="E31" i="3"/>
  <c r="E24" i="12" s="1"/>
  <c r="D19" i="5" s="1"/>
  <c r="E27" i="3"/>
  <c r="E18" i="12" s="1"/>
  <c r="D13" i="5" s="1"/>
  <c r="AH16" i="3"/>
  <c r="AH14" i="3"/>
  <c r="AB8" i="3"/>
  <c r="AB6" i="3"/>
  <c r="R38" i="29" l="1"/>
  <c r="A38" i="29"/>
  <c r="U17" i="31"/>
  <c r="U17" i="32"/>
  <c r="D8" i="31"/>
  <c r="D8" i="32"/>
  <c r="D20" i="31"/>
  <c r="D20" i="32"/>
  <c r="U20" i="31"/>
  <c r="U20" i="32"/>
  <c r="D11" i="31"/>
  <c r="D11" i="32"/>
  <c r="D23" i="31"/>
  <c r="D23" i="32"/>
  <c r="U11" i="31"/>
  <c r="U11" i="32"/>
  <c r="D17" i="31"/>
  <c r="D17" i="32"/>
  <c r="D29" i="31"/>
  <c r="D29" i="32"/>
  <c r="U8" i="31"/>
  <c r="U8" i="32"/>
  <c r="D14" i="31"/>
  <c r="D14" i="32"/>
  <c r="D26" i="31"/>
  <c r="D26" i="32"/>
  <c r="U14" i="31"/>
  <c r="U14" i="32"/>
  <c r="U23" i="31"/>
  <c r="U23" i="32"/>
  <c r="B71" i="3"/>
  <c r="AE40" i="5"/>
  <c r="A82" i="14"/>
  <c r="R82" i="14" s="1"/>
  <c r="A143" i="5"/>
  <c r="T143" i="5" s="1"/>
  <c r="R69" i="14"/>
  <c r="T131" i="5"/>
  <c r="A81" i="14"/>
  <c r="R81" i="14" s="1"/>
  <c r="A142" i="5"/>
  <c r="T142" i="5" s="1"/>
  <c r="A74" i="16"/>
  <c r="A147" i="5"/>
  <c r="T147" i="5" s="1"/>
  <c r="A33" i="31"/>
  <c r="A33" i="5"/>
  <c r="A36" i="31"/>
  <c r="R36" i="31" s="1"/>
  <c r="A36" i="5"/>
  <c r="U36" i="5" s="1"/>
  <c r="R33" i="31"/>
  <c r="U33" i="5"/>
  <c r="A37" i="5"/>
  <c r="U37" i="5"/>
  <c r="E57" i="12"/>
  <c r="Z28" i="5"/>
  <c r="A32" i="31"/>
  <c r="A32" i="5"/>
  <c r="A34" i="31"/>
  <c r="A34" i="5"/>
  <c r="A38" i="5"/>
  <c r="U38" i="5"/>
  <c r="E36" i="12"/>
  <c r="Z7" i="5"/>
  <c r="E51" i="12"/>
  <c r="Z22" i="5"/>
  <c r="E42" i="12"/>
  <c r="Z13" i="5"/>
  <c r="E48" i="12"/>
  <c r="Z19" i="5"/>
  <c r="R32" i="31"/>
  <c r="U32" i="5"/>
  <c r="U35" i="5"/>
  <c r="A35" i="5"/>
  <c r="A37" i="31"/>
  <c r="R37" i="31"/>
  <c r="A38" i="31"/>
  <c r="R38" i="31"/>
  <c r="A35" i="31"/>
  <c r="R35" i="31"/>
  <c r="A33" i="30"/>
  <c r="A36" i="30"/>
  <c r="R36" i="30" s="1"/>
  <c r="D8" i="24"/>
  <c r="U8" i="24"/>
  <c r="D11" i="24"/>
  <c r="D23" i="24"/>
  <c r="U11" i="24"/>
  <c r="A34" i="30"/>
  <c r="D14" i="24"/>
  <c r="D26" i="24"/>
  <c r="U14" i="24"/>
  <c r="U23" i="24"/>
  <c r="R37" i="14"/>
  <c r="D17" i="24"/>
  <c r="D29" i="24"/>
  <c r="U17" i="24"/>
  <c r="D20" i="18"/>
  <c r="D20" i="24"/>
  <c r="U20" i="15"/>
  <c r="U20" i="24"/>
  <c r="D29" i="30"/>
  <c r="D29" i="16"/>
  <c r="D29" i="14"/>
  <c r="U17" i="16"/>
  <c r="U17" i="14"/>
  <c r="D14" i="13"/>
  <c r="D14" i="16"/>
  <c r="D14" i="14"/>
  <c r="D26" i="16"/>
  <c r="D26" i="14"/>
  <c r="U14" i="14"/>
  <c r="U14" i="16"/>
  <c r="U23" i="14"/>
  <c r="U23" i="16"/>
  <c r="D17" i="30"/>
  <c r="D17" i="16"/>
  <c r="D17" i="14"/>
  <c r="U29" i="14"/>
  <c r="E60" i="12"/>
  <c r="D8" i="15"/>
  <c r="D8" i="16"/>
  <c r="D8" i="18"/>
  <c r="D8" i="14"/>
  <c r="D20" i="13"/>
  <c r="D20" i="14"/>
  <c r="D20" i="16"/>
  <c r="U8" i="16"/>
  <c r="U8" i="18"/>
  <c r="U8" i="14"/>
  <c r="U8" i="15"/>
  <c r="U20" i="18"/>
  <c r="U20" i="14"/>
  <c r="U20" i="16"/>
  <c r="U29" i="24"/>
  <c r="D11" i="30"/>
  <c r="D11" i="18"/>
  <c r="D11" i="14"/>
  <c r="D11" i="15"/>
  <c r="D11" i="16"/>
  <c r="D23" i="30"/>
  <c r="D23" i="14"/>
  <c r="D23" i="16"/>
  <c r="U11" i="30"/>
  <c r="U11" i="14"/>
  <c r="U11" i="15"/>
  <c r="U11" i="16"/>
  <c r="U11" i="18"/>
  <c r="E66" i="12"/>
  <c r="D23" i="18"/>
  <c r="D14" i="15"/>
  <c r="E78" i="12"/>
  <c r="D14" i="18"/>
  <c r="D26" i="15"/>
  <c r="D17" i="18"/>
  <c r="A37" i="24"/>
  <c r="U23" i="13"/>
  <c r="U23" i="30"/>
  <c r="D20" i="30"/>
  <c r="U8" i="29"/>
  <c r="U8" i="30"/>
  <c r="R35" i="30"/>
  <c r="A35" i="30"/>
  <c r="D14" i="29"/>
  <c r="D14" i="30"/>
  <c r="U20" i="30"/>
  <c r="U20" i="29"/>
  <c r="A32" i="14"/>
  <c r="A32" i="30"/>
  <c r="R37" i="29"/>
  <c r="R37" i="30"/>
  <c r="A37" i="30"/>
  <c r="U17" i="30"/>
  <c r="U23" i="15"/>
  <c r="R32" i="30"/>
  <c r="A38" i="30"/>
  <c r="R38" i="30"/>
  <c r="A37" i="16"/>
  <c r="R33" i="14"/>
  <c r="R33" i="30"/>
  <c r="D8" i="13"/>
  <c r="D8" i="30"/>
  <c r="D26" i="29"/>
  <c r="D26" i="30"/>
  <c r="U14" i="29"/>
  <c r="U14" i="30"/>
  <c r="U26" i="29"/>
  <c r="E90" i="12"/>
  <c r="A37" i="13"/>
  <c r="U14" i="15"/>
  <c r="A37" i="15"/>
  <c r="R37" i="18"/>
  <c r="E84" i="12"/>
  <c r="R37" i="13"/>
  <c r="E39" i="12"/>
  <c r="B44" i="3"/>
  <c r="R37" i="15"/>
  <c r="A37" i="18"/>
  <c r="D20" i="15"/>
  <c r="U14" i="18"/>
  <c r="U23" i="18"/>
  <c r="E99" i="12"/>
  <c r="A70" i="16"/>
  <c r="A37" i="14"/>
  <c r="R37" i="16"/>
  <c r="R37" i="24"/>
  <c r="U14" i="13"/>
  <c r="D8" i="29"/>
  <c r="A33" i="24"/>
  <c r="A33" i="16"/>
  <c r="A33" i="15"/>
  <c r="A33" i="13"/>
  <c r="A33" i="29"/>
  <c r="A35" i="13"/>
  <c r="A35" i="24"/>
  <c r="R35" i="16"/>
  <c r="R32" i="13"/>
  <c r="E72" i="12"/>
  <c r="D26" i="18"/>
  <c r="A69" i="16"/>
  <c r="S69" i="3"/>
  <c r="U29" i="16"/>
  <c r="E96" i="12"/>
  <c r="A37" i="29"/>
  <c r="U8" i="13"/>
  <c r="D20" i="29"/>
  <c r="D26" i="13"/>
  <c r="Q6" i="12"/>
  <c r="A34" i="13"/>
  <c r="A34" i="15"/>
  <c r="A34" i="24"/>
  <c r="A34" i="16"/>
  <c r="A34" i="14"/>
  <c r="A34" i="29"/>
  <c r="A34" i="18"/>
  <c r="A38" i="16"/>
  <c r="R38" i="15"/>
  <c r="A38" i="14"/>
  <c r="R38" i="13"/>
  <c r="R38" i="24"/>
  <c r="R38" i="14"/>
  <c r="A38" i="13"/>
  <c r="R38" i="18"/>
  <c r="Q10" i="12"/>
  <c r="A38" i="18"/>
  <c r="D11" i="13"/>
  <c r="D11" i="29"/>
  <c r="E63" i="12"/>
  <c r="U11" i="13"/>
  <c r="U11" i="29"/>
  <c r="E87" i="12"/>
  <c r="E45" i="12"/>
  <c r="H74" i="16"/>
  <c r="H86" i="14"/>
  <c r="AA86" i="14"/>
  <c r="A71" i="16"/>
  <c r="A83" i="14"/>
  <c r="R83" i="14" s="1"/>
  <c r="D29" i="29"/>
  <c r="D29" i="13"/>
  <c r="D29" i="15"/>
  <c r="E81" i="12"/>
  <c r="R38" i="16"/>
  <c r="A38" i="24"/>
  <c r="A32" i="16"/>
  <c r="A32" i="15"/>
  <c r="A32" i="29"/>
  <c r="A32" i="24"/>
  <c r="A32" i="18"/>
  <c r="A32" i="13"/>
  <c r="R35" i="29"/>
  <c r="A35" i="16"/>
  <c r="R35" i="14"/>
  <c r="R35" i="13"/>
  <c r="R35" i="24"/>
  <c r="R35" i="18"/>
  <c r="A35" i="29"/>
  <c r="A35" i="18"/>
  <c r="A35" i="15"/>
  <c r="R35" i="15"/>
  <c r="A35" i="14"/>
  <c r="D23" i="13"/>
  <c r="D23" i="15"/>
  <c r="E75" i="12"/>
  <c r="D23" i="29"/>
  <c r="A36" i="29"/>
  <c r="R36" i="29" s="1"/>
  <c r="A36" i="24"/>
  <c r="R36" i="24" s="1"/>
  <c r="A36" i="15"/>
  <c r="R36" i="15" s="1"/>
  <c r="A36" i="18"/>
  <c r="R36" i="18" s="1"/>
  <c r="A36" i="16"/>
  <c r="R36" i="16" s="1"/>
  <c r="A8" i="12"/>
  <c r="A86" i="14"/>
  <c r="R86" i="14" s="1"/>
  <c r="E54" i="12"/>
  <c r="A38" i="15"/>
  <c r="A36" i="14"/>
  <c r="R36" i="14" s="1"/>
  <c r="D29" i="18"/>
  <c r="A36" i="13"/>
  <c r="R36" i="13" s="1"/>
  <c r="R32" i="18"/>
  <c r="R32" i="14"/>
  <c r="R32" i="24"/>
  <c r="R32" i="15"/>
  <c r="R32" i="29"/>
  <c r="R32" i="16"/>
  <c r="R33" i="29"/>
  <c r="R33" i="13"/>
  <c r="R33" i="18"/>
  <c r="R33" i="24"/>
  <c r="R33" i="15"/>
  <c r="R33" i="16"/>
  <c r="D17" i="29"/>
  <c r="D17" i="13"/>
  <c r="D17" i="15"/>
  <c r="E69" i="12"/>
  <c r="U17" i="29"/>
  <c r="U17" i="13"/>
  <c r="U17" i="18"/>
  <c r="E93" i="12"/>
  <c r="U17" i="15"/>
  <c r="A33" i="14"/>
  <c r="U23" i="29"/>
  <c r="U26" i="15"/>
  <c r="A33" i="18"/>
  <c r="U26" i="18"/>
  <c r="E102" i="12"/>
  <c r="U26" i="13"/>
  <c r="R34" i="31" l="1"/>
  <c r="U34" i="5"/>
  <c r="R34" i="30"/>
  <c r="R34" i="24"/>
  <c r="R34" i="14"/>
  <c r="R34" i="29"/>
  <c r="R34" i="13"/>
  <c r="R34" i="15"/>
  <c r="R34" i="16"/>
  <c r="R34" i="18"/>
</calcChain>
</file>

<file path=xl/sharedStrings.xml><?xml version="1.0" encoding="utf-8"?>
<sst xmlns="http://schemas.openxmlformats.org/spreadsheetml/2006/main" count="1729" uniqueCount="1414">
  <si>
    <t>Art, Umfang und Kennzeichnung der Anlage</t>
  </si>
  <si>
    <t>Absender:</t>
  </si>
  <si>
    <t>Anlagen / Einsichtnahme</t>
  </si>
  <si>
    <t>Produkt / Prozess</t>
  </si>
  <si>
    <t>frei</t>
  </si>
  <si>
    <t>Bericht Produktionsprozess- und Produktfreigabe</t>
  </si>
  <si>
    <t>Bericht sonstige Muster</t>
  </si>
  <si>
    <t>Bemusterung</t>
  </si>
  <si>
    <t>Neuteil</t>
  </si>
  <si>
    <t>Änderung am Produktionsprozess</t>
  </si>
  <si>
    <t>1.1  Geometrie, Maßprüfung</t>
  </si>
  <si>
    <t>1.2  Funktionsprüfung</t>
  </si>
  <si>
    <t>1.3  Werkstoffprüfung</t>
  </si>
  <si>
    <t>1.4  Haptikprüfung</t>
  </si>
  <si>
    <t>1.5  Akustikprüfung</t>
  </si>
  <si>
    <t>1.6  Geruchsprüfung</t>
  </si>
  <si>
    <t>1.7  Aussehensprüfung</t>
  </si>
  <si>
    <t>1.8  Oberflächenprüfung</t>
  </si>
  <si>
    <t>1.9  ESD – Prüfung</t>
  </si>
  <si>
    <t xml:space="preserve">2 Muster  </t>
  </si>
  <si>
    <t>3 Technische Spezifikationen</t>
  </si>
  <si>
    <t>4 Produkt – FMEA</t>
  </si>
  <si>
    <t>5 Konstruktionsfreigabe</t>
  </si>
  <si>
    <t>6 Einhaltung gesetzlicher Forderungen</t>
  </si>
  <si>
    <t>7 Materialdatenblatt / IMDS</t>
  </si>
  <si>
    <t>8 Softwareprüfbericht</t>
  </si>
  <si>
    <t>9 Prozess – FMEA</t>
  </si>
  <si>
    <t>10 Prozeßablaufdiagramm</t>
  </si>
  <si>
    <t>11 Produktionslenkungsplan</t>
  </si>
  <si>
    <t>12 Prozeßfähigkeitsnachweis</t>
  </si>
  <si>
    <t>13 Absicherung besondere Merkmale</t>
  </si>
  <si>
    <t>14 Prüfmittelliste</t>
  </si>
  <si>
    <t>15 Prüfmittelfähigkeitsnachweis</t>
  </si>
  <si>
    <t>16 Werkzeugübersicht</t>
  </si>
  <si>
    <t xml:space="preserve">17 Nachweis vereinbarte Kapazität </t>
  </si>
  <si>
    <t>18 Schriftliche Selbstbewertung</t>
  </si>
  <si>
    <t>19 Teilelebenslauf</t>
  </si>
  <si>
    <t>20 Eignungsnachweis Ladungsträger inkl. Lagerung</t>
  </si>
  <si>
    <t>21 PPF-Status Lieferkette</t>
  </si>
  <si>
    <t>22 Freigabe von Beschichtungssystemen</t>
  </si>
  <si>
    <t>Benennung:</t>
  </si>
  <si>
    <t>Sachnummer:</t>
  </si>
  <si>
    <t>Stand / Datum:</t>
  </si>
  <si>
    <t>Name:</t>
  </si>
  <si>
    <t>Abteilung:</t>
  </si>
  <si>
    <t>Bemerkung:</t>
  </si>
  <si>
    <t>i.O</t>
  </si>
  <si>
    <t>bedingt i.O - Nachbemusterung erforderlich</t>
  </si>
  <si>
    <t>n i.O - Nachbemusterung erforderlich</t>
  </si>
  <si>
    <t>Gesamt</t>
  </si>
  <si>
    <t>Nr. Abweichgenehmigung:</t>
  </si>
  <si>
    <t>Gültig bis:</t>
  </si>
  <si>
    <t>Stückzahl:</t>
  </si>
  <si>
    <t>Datum:</t>
  </si>
  <si>
    <t>Kunde:</t>
  </si>
  <si>
    <t>Berichts-Nr.:</t>
  </si>
  <si>
    <t>Abladestelle:</t>
  </si>
  <si>
    <t>Mustergewicht:</t>
  </si>
  <si>
    <t>Chargennummer:</t>
  </si>
  <si>
    <t>Liefermenge:</t>
  </si>
  <si>
    <t>Kennnummer / DUNS:</t>
  </si>
  <si>
    <t>Telefon:</t>
  </si>
  <si>
    <t xml:space="preserve">Der IMDS - Datensatz wurde erstellt unter IMDS-ID-Nr: </t>
  </si>
  <si>
    <t>Lieferantenangaben:</t>
  </si>
  <si>
    <t>Vorlagestufe:</t>
  </si>
  <si>
    <t>Nachbemusterung</t>
  </si>
  <si>
    <t>Aussetzen der Fertigung länger als 12 Monate</t>
  </si>
  <si>
    <t xml:space="preserve">Anlage </t>
  </si>
  <si>
    <t>Bemerkungen Lieferant:</t>
  </si>
  <si>
    <t>Index:</t>
  </si>
  <si>
    <t>Kennnummer:</t>
  </si>
  <si>
    <t>Zeichnungsnummer:</t>
  </si>
  <si>
    <t>Fax:</t>
  </si>
  <si>
    <t>Unterschrift:</t>
  </si>
  <si>
    <t>Änderung in der Lieferkette</t>
  </si>
  <si>
    <t>Deckblatt</t>
  </si>
  <si>
    <t>Termin Nachbermusterung:</t>
  </si>
  <si>
    <t>Produktbezogene Prüfergebnisse</t>
  </si>
  <si>
    <t>Stand:</t>
  </si>
  <si>
    <t>Verteiler:</t>
  </si>
  <si>
    <t>Blatt</t>
  </si>
  <si>
    <t>von</t>
  </si>
  <si>
    <t>Ja</t>
  </si>
  <si>
    <t>Nein</t>
  </si>
  <si>
    <t>Prozessbezogene und sonstige Dokumente</t>
  </si>
  <si>
    <t>Freigaben</t>
  </si>
  <si>
    <t>Ersteller:</t>
  </si>
  <si>
    <t>Firma:</t>
  </si>
  <si>
    <t>Diese Software löst folgende Sachnummern ab:</t>
  </si>
  <si>
    <t>Hauptrelease</t>
  </si>
  <si>
    <t>Änderungsrelease</t>
  </si>
  <si>
    <t>Wiederholungsrelease (Bugfix)</t>
  </si>
  <si>
    <t>Sachnummer</t>
  </si>
  <si>
    <t>Hardwarestand</t>
  </si>
  <si>
    <t>Softwarestand</t>
  </si>
  <si>
    <t>Securityklasse</t>
  </si>
  <si>
    <t>Bestellnummer</t>
  </si>
  <si>
    <t>Hardware-Sachnummer</t>
  </si>
  <si>
    <t>YY/WW</t>
  </si>
  <si>
    <t>YY/WW_Patchlevel</t>
  </si>
  <si>
    <t>Software-Sachnummer 1</t>
  </si>
  <si>
    <t>Software-Sachnummer 2</t>
  </si>
  <si>
    <t>Software-Sachnummer 3</t>
  </si>
  <si>
    <t>Software-Sachnummer 4</t>
  </si>
  <si>
    <t>Datum</t>
  </si>
  <si>
    <t>Unterschrift</t>
  </si>
  <si>
    <t>Freigabe:</t>
  </si>
  <si>
    <t>Blatt 2: Durchgeführte prüfungen</t>
  </si>
  <si>
    <t>ZGS:</t>
  </si>
  <si>
    <t>Blatt 3: Bestätigung von Softwaretests</t>
  </si>
  <si>
    <t>Hiermit bestätigen wir die Durchführung der unten genannten Test und die Richtigkeit der Ergebnisse</t>
  </si>
  <si>
    <t>Software Integration Test</t>
  </si>
  <si>
    <t>Duchgeführt</t>
  </si>
  <si>
    <t>ja</t>
  </si>
  <si>
    <t>nein</t>
  </si>
  <si>
    <t>Version</t>
  </si>
  <si>
    <t>Ergebnis</t>
  </si>
  <si>
    <t>Anzahl offener Punkte</t>
  </si>
  <si>
    <t>Modultest</t>
  </si>
  <si>
    <t>System Integration Test</t>
  </si>
  <si>
    <t>Software in the loop (SIL)</t>
  </si>
  <si>
    <t>Acceptance Test</t>
  </si>
  <si>
    <t>Prozessor</t>
  </si>
  <si>
    <t>Prozessorfrequenz</t>
  </si>
  <si>
    <t>Quarzfrequenz</t>
  </si>
  <si>
    <t>1.</t>
  </si>
  <si>
    <t>2.</t>
  </si>
  <si>
    <t>3.</t>
  </si>
  <si>
    <t>Komponente</t>
  </si>
  <si>
    <t>Belegt</t>
  </si>
  <si>
    <t>Verfügbar</t>
  </si>
  <si>
    <t>Belegt [%]</t>
  </si>
  <si>
    <t>Status</t>
  </si>
  <si>
    <t>Spezifiziert</t>
  </si>
  <si>
    <t>ROM</t>
  </si>
  <si>
    <t>RAM</t>
  </si>
  <si>
    <t>EEPROM</t>
  </si>
  <si>
    <t>Harddisk</t>
  </si>
  <si>
    <t>HW Stand</t>
  </si>
  <si>
    <t>Geprüft nach Testspezifikation</t>
  </si>
  <si>
    <t>Alle Testsequenzen bestanden?</t>
  </si>
  <si>
    <t>1)</t>
  </si>
  <si>
    <t>2)</t>
  </si>
  <si>
    <t>3)</t>
  </si>
  <si>
    <t>4)</t>
  </si>
  <si>
    <t>5)</t>
  </si>
  <si>
    <t>6)</t>
  </si>
  <si>
    <t>Welche Prüfsequenz wurde nicht bestanden?</t>
  </si>
  <si>
    <t>Welche Maßnahmen sind definiert?</t>
  </si>
  <si>
    <t>Wann ist das Wiederholungsrelease?</t>
  </si>
  <si>
    <t>#</t>
  </si>
  <si>
    <t>Gesamt Prozess</t>
  </si>
  <si>
    <t>Gesamt Produkt</t>
  </si>
  <si>
    <t>Spezifikationen</t>
  </si>
  <si>
    <t>Lieferant</t>
  </si>
  <si>
    <t>Nr.</t>
  </si>
  <si>
    <t>IST-Werte</t>
  </si>
  <si>
    <t>Erstellungsdatum:</t>
  </si>
  <si>
    <t>spanish</t>
  </si>
  <si>
    <t>czech</t>
  </si>
  <si>
    <t>french</t>
  </si>
  <si>
    <t>portuguese</t>
  </si>
  <si>
    <t>chinese</t>
  </si>
  <si>
    <t>korean</t>
  </si>
  <si>
    <t>japanese</t>
  </si>
  <si>
    <t>thai</t>
  </si>
  <si>
    <t>russian</t>
  </si>
  <si>
    <t>turkish</t>
  </si>
  <si>
    <t>other</t>
  </si>
  <si>
    <t>Softwareprüfbericht</t>
  </si>
  <si>
    <t>PPF (Inhalte)</t>
  </si>
  <si>
    <t>Deckblatt zum PPF-Bericht</t>
  </si>
  <si>
    <t>(18)</t>
  </si>
  <si>
    <t>(9), (10), (13)</t>
  </si>
  <si>
    <t>Muster (Anzahl bzw. Liefermenge nach Vereinbarung</t>
  </si>
  <si>
    <t>(14)</t>
  </si>
  <si>
    <t>Produkt-FMEA</t>
  </si>
  <si>
    <t>(4)</t>
  </si>
  <si>
    <t>(1), (2)</t>
  </si>
  <si>
    <t>Technische Spezifikationen (z. B. Kundenzeichnungen, CAD-Daten, Spezifikationen, genehmigte Konstruktionsänderungen, Kurzschlussfestigkeit, Spannungsabsicherung, Funktionale Sicherheit (FUSI))</t>
  </si>
  <si>
    <t>(1), (3)</t>
  </si>
  <si>
    <t>Konstruktions-, Entwicklungsfreigaben des Lieferanten bei Entwicklungs-Verantwortung entsprechend Vereinbarung</t>
  </si>
  <si>
    <t>(6)</t>
  </si>
  <si>
    <t>Materialdatenblatt per IMDS</t>
  </si>
  <si>
    <t>(10)</t>
  </si>
  <si>
    <t>Keine Entsprechung</t>
  </si>
  <si>
    <t>Prozess-FMEA</t>
  </si>
  <si>
    <t>Prozessablaufdiagramm (Fertigungs- und Prüfschritte)</t>
  </si>
  <si>
    <t>(5)</t>
  </si>
  <si>
    <t>Produktionslenkungsplan (Control Plan)</t>
  </si>
  <si>
    <t>(7)</t>
  </si>
  <si>
    <t>Prozessfähigkeitsnachweise</t>
  </si>
  <si>
    <t>Nachweis Absicherung besonderer Merkmale</t>
  </si>
  <si>
    <t>(11)</t>
  </si>
  <si>
    <t>(17)</t>
  </si>
  <si>
    <t>Prüfmittelliste (produktspezifisch)</t>
  </si>
  <si>
    <t>Prüfmittelfähigkeitsuntersuchung, wo angemessen (Ergebnis)</t>
  </si>
  <si>
    <t>(16)</t>
  </si>
  <si>
    <t>(8), (11), (16)</t>
  </si>
  <si>
    <t>Nachweis der Einhaltung gesetzlicher Forderungen (z. B. Umwelt, Sicherheit, Recycling, länderspezifische Zertifikate)</t>
  </si>
  <si>
    <t>(2)</t>
  </si>
  <si>
    <t>Teilelebenslauf</t>
  </si>
  <si>
    <t>Freigabe von Beschichtungssystemen gemäß Kundenanforderungen</t>
  </si>
  <si>
    <t>PPF-Status Lieferkette (Zulieferteile, Setzeile und Hausteile)</t>
  </si>
  <si>
    <t>Eignungsnachweis der eingesetzten Ladungsträger inkl. Lagerung</t>
  </si>
  <si>
    <t>Nachweis für Erreichung der vereinbarten Kapazität (Prozessvalidierung)</t>
  </si>
  <si>
    <t>Werkzeugübersicht (mit Stückzahl / Anzahl Nester und Informationen zum Werkzeugkonzept)</t>
  </si>
  <si>
    <t>Schriftliche Selbstbewertung der Kriterien gemäß Matrix Beutteilung Serienreife für Produkt und Prozess</t>
  </si>
  <si>
    <t>PPAP (12) und (15) sind im PPF VDA nicht explizit enthalten</t>
  </si>
  <si>
    <t>Nur die Teilevorlagebestätigumg (PSW) wird dem Kenden vorgelegt</t>
  </si>
  <si>
    <t>Teilevorlagebestätigumg (PSW) mit Musterteilen und eingeschränkte unterstützende Daten werden dem Kunden vorgelegt</t>
  </si>
  <si>
    <t>Teilevorlagebestätigumg (PSW) mit Musterteilen und umfassende unterstützende Daten werden dem Kunden vorgelegt</t>
  </si>
  <si>
    <t>Teilevorlagebestätigumg (PSW) und andere Forderungen, wie sie vom Kunden festgelegt wurden</t>
  </si>
  <si>
    <t>Teilevorlagebestätigumg (PSW) mit Musterteilen und vollständige unterstützende Daten stehen am Produktionsstandort des Lieferanten für Bewertung zur Verfügung</t>
  </si>
  <si>
    <t xml:space="preserve">Teilevorlagebestätigung </t>
  </si>
  <si>
    <t>Kundenspezifische Anforderungen</t>
  </si>
  <si>
    <t>Spezifische Prüfmittel</t>
  </si>
  <si>
    <t>Referenzmuster</t>
  </si>
  <si>
    <t>(1)</t>
  </si>
  <si>
    <t>(3)</t>
  </si>
  <si>
    <t>(8)</t>
  </si>
  <si>
    <t>(9)</t>
  </si>
  <si>
    <t>(12)</t>
  </si>
  <si>
    <t>(13)</t>
  </si>
  <si>
    <t>(15)</t>
  </si>
  <si>
    <t>Muster - Serienteile</t>
  </si>
  <si>
    <t>Bericht zur Freigabe des Aussehens</t>
  </si>
  <si>
    <t>Dokumentation eines qualifizierten Laboratoriums</t>
  </si>
  <si>
    <t>Untersuchungen zur Kurzzeitfähigkeit der Prozesse</t>
  </si>
  <si>
    <t>Material- und Leistungstests</t>
  </si>
  <si>
    <t>Messergebnisse</t>
  </si>
  <si>
    <t>Analyse von Messsystemen</t>
  </si>
  <si>
    <t>Steuerungs- (Prüf-) plan</t>
  </si>
  <si>
    <t>Designaufzeichnungen</t>
  </si>
  <si>
    <t>Dokumente über technische Änderungen</t>
  </si>
  <si>
    <t>Technische Freigabe</t>
  </si>
  <si>
    <t>Konstruktions - Fehlermöglichkeits- und Einfluss Analyse (D-FMEA)</t>
  </si>
  <si>
    <t>Prozess - Fehlermöglichkeits- und Einfluss Analyse (P-FMEA)</t>
  </si>
  <si>
    <t>PPAP (Inhalte), 4th Edition</t>
  </si>
  <si>
    <t>Cover sheet</t>
  </si>
  <si>
    <t>Product / Process</t>
  </si>
  <si>
    <t>4 Product – FMEA</t>
  </si>
  <si>
    <t>9 Process – FMEA</t>
  </si>
  <si>
    <t>OK</t>
  </si>
  <si>
    <t>Sender:</t>
  </si>
  <si>
    <t>Empfänger:</t>
  </si>
  <si>
    <t>Recipient:</t>
  </si>
  <si>
    <t>1.2 Function check</t>
  </si>
  <si>
    <t>1.1 Geometry, dimensional check</t>
  </si>
  <si>
    <t>1.9 ESD test</t>
  </si>
  <si>
    <t>1.10 Reliability tests</t>
  </si>
  <si>
    <t>2 Samples</t>
  </si>
  <si>
    <t>3 Technical specifications</t>
  </si>
  <si>
    <t>8 Software test report</t>
  </si>
  <si>
    <t>Production process and product approval report</t>
  </si>
  <si>
    <t>Submission level:</t>
  </si>
  <si>
    <t>6 Compliance with legal requirements</t>
  </si>
  <si>
    <t>10 Process flow chart</t>
  </si>
  <si>
    <t>11 Control plan</t>
  </si>
  <si>
    <t>12 Confirmation of process capability</t>
  </si>
  <si>
    <t>Part number:</t>
  </si>
  <si>
    <t>ID number / DUNS:</t>
  </si>
  <si>
    <t>Batch number:</t>
  </si>
  <si>
    <t>Sample weight:</t>
  </si>
  <si>
    <t>Quantity supplied:</t>
  </si>
  <si>
    <t>Customer:</t>
  </si>
  <si>
    <t>Report No.:</t>
  </si>
  <si>
    <t>Comments:</t>
  </si>
  <si>
    <t>Date:</t>
  </si>
  <si>
    <t>Signature:</t>
  </si>
  <si>
    <t>Overall</t>
  </si>
  <si>
    <t>Overall Process</t>
  </si>
  <si>
    <t>Overall Product</t>
  </si>
  <si>
    <t>Deviation approval No.:</t>
  </si>
  <si>
    <t>Valid until:</t>
  </si>
  <si>
    <t>Quantity of parts:</t>
  </si>
  <si>
    <t>Comments Supplier:</t>
  </si>
  <si>
    <t>No.</t>
  </si>
  <si>
    <t>Supplier</t>
  </si>
  <si>
    <t>Yes</t>
  </si>
  <si>
    <t>No</t>
  </si>
  <si>
    <t>Approved</t>
  </si>
  <si>
    <t>Product-related test results</t>
  </si>
  <si>
    <t>Page</t>
  </si>
  <si>
    <t>of</t>
  </si>
  <si>
    <t>Status:</t>
  </si>
  <si>
    <t>/ Datum:</t>
  </si>
  <si>
    <t>/ Date:</t>
  </si>
  <si>
    <t>Specifications</t>
  </si>
  <si>
    <t>Actual values</t>
  </si>
  <si>
    <t>Process-related and other documents</t>
  </si>
  <si>
    <t>Creation date:</t>
  </si>
  <si>
    <t>Select language:</t>
  </si>
  <si>
    <t>English</t>
  </si>
  <si>
    <t>German</t>
  </si>
  <si>
    <t>Spanish</t>
  </si>
  <si>
    <t>Portuguese</t>
  </si>
  <si>
    <t>Chinese</t>
  </si>
  <si>
    <t>deckblatt</t>
  </si>
  <si>
    <t>absender</t>
  </si>
  <si>
    <t>produkt prozess</t>
  </si>
  <si>
    <t>empfanger</t>
  </si>
  <si>
    <t>bericht produktionsprozess</t>
  </si>
  <si>
    <t>bericht sonstige</t>
  </si>
  <si>
    <t>bemusterung</t>
  </si>
  <si>
    <t>andreungen an produkt</t>
  </si>
  <si>
    <t>anderung am produktionsprozess</t>
  </si>
  <si>
    <t>vorlagestufe</t>
  </si>
  <si>
    <t>nachbemusterung</t>
  </si>
  <si>
    <t>aussetzen 12 monate</t>
  </si>
  <si>
    <t>anderung in der lieferkette</t>
  </si>
  <si>
    <t>anlagen einsichtnahme</t>
  </si>
  <si>
    <t>neuteil</t>
  </si>
  <si>
    <t>1.1geometrie, maßprüfung</t>
  </si>
  <si>
    <t>1.2funktionsprüfung</t>
  </si>
  <si>
    <t>1.3werkstoffprüfung</t>
  </si>
  <si>
    <t>1.4haptikprüfung</t>
  </si>
  <si>
    <t>1.5akustikprüfung</t>
  </si>
  <si>
    <t>1.6geruchsprüfung</t>
  </si>
  <si>
    <t>1.7aussehensprüfung</t>
  </si>
  <si>
    <t>1.8oberflächenprüfung</t>
  </si>
  <si>
    <t>1.9esd prüfung</t>
  </si>
  <si>
    <t>1.10zuverlässigkeitsprüfungen</t>
  </si>
  <si>
    <t>2muster</t>
  </si>
  <si>
    <t>3technischespezifikationen</t>
  </si>
  <si>
    <t>4produktfmea</t>
  </si>
  <si>
    <t>5konstruktionsfreigabe</t>
  </si>
  <si>
    <t>6einhaltung gesetzlicher forderungen</t>
  </si>
  <si>
    <t>7materialdatenblattimds</t>
  </si>
  <si>
    <t>8softwareprüfbericht</t>
  </si>
  <si>
    <t>9prozessfmea</t>
  </si>
  <si>
    <t>10prozeßablaufdiagramm</t>
  </si>
  <si>
    <t>11produktionslenkungsplan</t>
  </si>
  <si>
    <t>12prozeßfähigkeitsnachweis</t>
  </si>
  <si>
    <t>13absicherung besondere merkmale</t>
  </si>
  <si>
    <t>14prüfmittelliste</t>
  </si>
  <si>
    <t>15prüfmittelfähigkeitsnachweis</t>
  </si>
  <si>
    <t>16werkzeugübersicht</t>
  </si>
  <si>
    <t xml:space="preserve">17nachweis vereinbarte kapazität </t>
  </si>
  <si>
    <t>18schriftlicheselbstbewertung</t>
  </si>
  <si>
    <t>19teilelebenslauf</t>
  </si>
  <si>
    <t>20eignungsnachweisladungsträger</t>
  </si>
  <si>
    <t>21ppfstatus lieferkette</t>
  </si>
  <si>
    <t>22freigabevonbeschichtungssystemen</t>
  </si>
  <si>
    <t>23sonstiges</t>
  </si>
  <si>
    <t>19 Part history</t>
  </si>
  <si>
    <t>16 Tooling list</t>
  </si>
  <si>
    <t>18 Written self-assessment</t>
  </si>
  <si>
    <t>Approvals</t>
  </si>
  <si>
    <t>freigaben</t>
  </si>
  <si>
    <t>lieferantenangaben</t>
  </si>
  <si>
    <t>lieferantproduktionsstandort</t>
  </si>
  <si>
    <t>benennung</t>
  </si>
  <si>
    <t>sachnummer</t>
  </si>
  <si>
    <t>standdatum</t>
  </si>
  <si>
    <t>kennnummerduns</t>
  </si>
  <si>
    <t>liefermenge</t>
  </si>
  <si>
    <t>chargennummer</t>
  </si>
  <si>
    <t>mustergewicht</t>
  </si>
  <si>
    <t>kunde</t>
  </si>
  <si>
    <t>berichts-nr</t>
  </si>
  <si>
    <t>Phone:</t>
  </si>
  <si>
    <t>Confirmation Supplier:</t>
  </si>
  <si>
    <t>wareneingangs-nrdatum</t>
  </si>
  <si>
    <t>abladestelle</t>
  </si>
  <si>
    <t>bestätigunglieferant</t>
  </si>
  <si>
    <t>telefon</t>
  </si>
  <si>
    <t>name</t>
  </si>
  <si>
    <t>deimdsnr</t>
  </si>
  <si>
    <t>abteilung</t>
  </si>
  <si>
    <t>Department:</t>
  </si>
  <si>
    <t>faxe-mail</t>
  </si>
  <si>
    <t>bemerkung</t>
  </si>
  <si>
    <t>datum</t>
  </si>
  <si>
    <t>unterschrift</t>
  </si>
  <si>
    <t>entscheidungkunde</t>
  </si>
  <si>
    <t>gesamt</t>
  </si>
  <si>
    <t>gesamt prozess</t>
  </si>
  <si>
    <t>gesamt produkt</t>
  </si>
  <si>
    <t>bedingt io</t>
  </si>
  <si>
    <t>io</t>
  </si>
  <si>
    <t>n io</t>
  </si>
  <si>
    <t>nrabweichgenehmigung</t>
  </si>
  <si>
    <t>gültig bis</t>
  </si>
  <si>
    <t>stückzahl</t>
  </si>
  <si>
    <t>termin nachbermusterung</t>
  </si>
  <si>
    <t>Drawing number:</t>
  </si>
  <si>
    <t>Enclosure</t>
  </si>
  <si>
    <t>Nature, extent and identification of enclosures</t>
  </si>
  <si>
    <t>zeichnungsnummer</t>
  </si>
  <si>
    <t>artumfang und kennzeichnung deranlage</t>
  </si>
  <si>
    <t>bemerkungenlieferant</t>
  </si>
  <si>
    <t>verteiler</t>
  </si>
  <si>
    <t>beirücksendunglieferschein-nrdatum</t>
  </si>
  <si>
    <t>kennnummer</t>
  </si>
  <si>
    <t>ID number:</t>
  </si>
  <si>
    <t>anlage</t>
  </si>
  <si>
    <t>PPA report</t>
  </si>
  <si>
    <t>ppfppa</t>
  </si>
  <si>
    <t>PPF-Bericht</t>
  </si>
  <si>
    <t>Contents of the PPA report</t>
  </si>
  <si>
    <t>Inhaltdesppf</t>
  </si>
  <si>
    <t>produktbezogene prüfergebnisse</t>
  </si>
  <si>
    <t>lieferant</t>
  </si>
  <si>
    <t>blatt</t>
  </si>
  <si>
    <t>vonvv</t>
  </si>
  <si>
    <t>standyy</t>
  </si>
  <si>
    <t>ydatumf</t>
  </si>
  <si>
    <t>ref</t>
  </si>
  <si>
    <t>nr</t>
  </si>
  <si>
    <t>forderungen</t>
  </si>
  <si>
    <t>spezifikationen</t>
  </si>
  <si>
    <t>spezifikation erfüllt</t>
  </si>
  <si>
    <t>abgelehnt</t>
  </si>
  <si>
    <t>istwerte</t>
  </si>
  <si>
    <t>freittttt</t>
  </si>
  <si>
    <t>prozessbezogene und sonstige dokumente</t>
  </si>
  <si>
    <t>erstellungsdatum</t>
  </si>
  <si>
    <t>Company:</t>
  </si>
  <si>
    <t>ysachnummery</t>
  </si>
  <si>
    <t>PPA (Content)</t>
  </si>
  <si>
    <t>Cover sheet for PPA report</t>
  </si>
  <si>
    <t>Distribution:</t>
  </si>
  <si>
    <t>Report covering other samples</t>
  </si>
  <si>
    <t>Sample submission</t>
  </si>
  <si>
    <t>New parts</t>
  </si>
  <si>
    <t>Product modification</t>
  </si>
  <si>
    <t>Production process modification</t>
  </si>
  <si>
    <t>Reapproval of PPA Process</t>
  </si>
  <si>
    <t>Modification in the supply chain</t>
  </si>
  <si>
    <t>Attachements / items for inspection</t>
  </si>
  <si>
    <t>1.3 Material check</t>
  </si>
  <si>
    <t>1.4 Haptics check</t>
  </si>
  <si>
    <t>1.5 Acoustics check</t>
  </si>
  <si>
    <t>1.6 Odour check</t>
  </si>
  <si>
    <t>1.7 Appearance check</t>
  </si>
  <si>
    <t>1.8 Surface check</t>
  </si>
  <si>
    <t>5 Design release</t>
  </si>
  <si>
    <t>7 Material data sheet / IMDS</t>
  </si>
  <si>
    <t>13 Achievement of special characteristics</t>
  </si>
  <si>
    <t>15 Capability study testing equipment</t>
  </si>
  <si>
    <t>17 Confirmation of agreed capacity</t>
  </si>
  <si>
    <t>21 PPA-Status of the supply chain</t>
  </si>
  <si>
    <t>20 Confirmation of suitability of transport equipment</t>
  </si>
  <si>
    <t>Supplier details:</t>
  </si>
  <si>
    <t>Part description:</t>
  </si>
  <si>
    <t>Issue / Date:</t>
  </si>
  <si>
    <t>NOK - Reapproval of PPA Process is required</t>
  </si>
  <si>
    <t>Deadline of reapproval PPA Process:</t>
  </si>
  <si>
    <t>Customer´s decision:</t>
  </si>
  <si>
    <t>orderrrrr</t>
  </si>
  <si>
    <t>deliveryyyyy</t>
  </si>
  <si>
    <t>Delivery note No.:</t>
  </si>
  <si>
    <t>Unloading point:</t>
  </si>
  <si>
    <t>1.1</t>
  </si>
  <si>
    <t>1.2</t>
  </si>
  <si>
    <t>1.3</t>
  </si>
  <si>
    <t>1.4</t>
  </si>
  <si>
    <t>1.5</t>
  </si>
  <si>
    <t>1.6</t>
  </si>
  <si>
    <t>1.7</t>
  </si>
  <si>
    <t>1.8</t>
  </si>
  <si>
    <t>1.9</t>
  </si>
  <si>
    <t>1.10</t>
  </si>
  <si>
    <t>20eignungsnachweisladungsträger inkl lagerung</t>
  </si>
  <si>
    <t>20 Eignungsnachweis Ladungsträger</t>
  </si>
  <si>
    <t>Bestätigung Lieferant - Hiermit wird bestätigt, dass die Bemusterung entsprechend den vereinbarten Vorlagestufen gemäß VDA Band 2 durchgeführt wurde</t>
  </si>
  <si>
    <t>eigentumserklarung</t>
  </si>
  <si>
    <t>Änderungen am Produkt</t>
  </si>
  <si>
    <t>sonstige</t>
  </si>
  <si>
    <t>Sonstige</t>
  </si>
  <si>
    <t>Others</t>
  </si>
  <si>
    <t>Inhalt des PPF-Berichts</t>
  </si>
  <si>
    <t>bestätigung lieferant</t>
  </si>
  <si>
    <t>Bestätigung Lieferant:</t>
  </si>
  <si>
    <t>bemerkungen</t>
  </si>
  <si>
    <t>Bemerkungen:</t>
  </si>
  <si>
    <t>Entscheidung Kunde:</t>
  </si>
  <si>
    <t>E-Mail:</t>
  </si>
  <si>
    <t>Values
M+H</t>
  </si>
  <si>
    <t>Speicherauslastung</t>
  </si>
  <si>
    <t>werte m+h</t>
  </si>
  <si>
    <t>Werte
M+H</t>
  </si>
  <si>
    <t>Bewertung
M+H</t>
  </si>
  <si>
    <t>Evaluation
M+H</t>
  </si>
  <si>
    <t>bewertung m+h</t>
  </si>
  <si>
    <t>Supplier/Production plant:</t>
  </si>
  <si>
    <t>ist-werte lieferant (je muster)</t>
  </si>
  <si>
    <t>muster</t>
  </si>
  <si>
    <t>Muster</t>
  </si>
  <si>
    <t>Samples</t>
  </si>
  <si>
    <t>Ist-Werte Lieferant</t>
  </si>
  <si>
    <t>Actual values Supplier</t>
  </si>
  <si>
    <t>Forderungen / Spezifikation</t>
  </si>
  <si>
    <t>Requirements / Specifications</t>
  </si>
  <si>
    <t>Ref. Nr.</t>
  </si>
  <si>
    <t>Ref. No.</t>
  </si>
  <si>
    <t>ref nr</t>
  </si>
  <si>
    <t>Process stable</t>
  </si>
  <si>
    <t>prozess stabil</t>
  </si>
  <si>
    <t>Prozess stabil</t>
  </si>
  <si>
    <t>Abgestimmt mit</t>
  </si>
  <si>
    <t>Freigegeben durch</t>
  </si>
  <si>
    <t>Grund</t>
  </si>
  <si>
    <t>beschreibung der änderung</t>
  </si>
  <si>
    <t>Beschreibung der Änderung</t>
  </si>
  <si>
    <t>Description of the change</t>
  </si>
  <si>
    <t>grund</t>
  </si>
  <si>
    <t>Reason</t>
  </si>
  <si>
    <t>Eingeführt mit (Los/Datum)</t>
  </si>
  <si>
    <t>abgestimmt mit</t>
  </si>
  <si>
    <t>Agreed with</t>
  </si>
  <si>
    <t>freigegeben durch</t>
  </si>
  <si>
    <t>Approved by</t>
  </si>
  <si>
    <t>eingeführt mit (los/datum)</t>
  </si>
  <si>
    <t>z-index</t>
  </si>
  <si>
    <t>Drawing index</t>
  </si>
  <si>
    <t>Zeichnungs-index</t>
  </si>
  <si>
    <t>erläuterung änderungsart</t>
  </si>
  <si>
    <t>bezeichnung</t>
  </si>
  <si>
    <t>Messbereich</t>
  </si>
  <si>
    <t>Prüfmittelnummer</t>
  </si>
  <si>
    <t>messbereich</t>
  </si>
  <si>
    <t>prüfmittelnummer</t>
  </si>
  <si>
    <t>Range of measurement</t>
  </si>
  <si>
    <t>Name of measurement instrument / device</t>
  </si>
  <si>
    <t>No. of measurement instrument / device</t>
  </si>
  <si>
    <t>Name und Anschrift Ihres Lieferanten</t>
  </si>
  <si>
    <t>Bezeichnung und Teilenummer des Zukaufteils</t>
  </si>
  <si>
    <t>hiermit bestätigen wir - ppap unterlieferanten</t>
  </si>
  <si>
    <t>Hiermit bestätigen wir, dass auch unsere zugekauften Teile nach PPF bemustert und freigegeben wurden.
Kopien der freigegebenen Deckblätter liegen diesem PPF bei !</t>
  </si>
  <si>
    <t>We herewith confirm that also our purchased parts/ components are homologated and approved according the PPA procedure.
Copies of the approved PPA cover sheets are attached to this PPA !</t>
  </si>
  <si>
    <t>name und anschrift ihres lieferanten</t>
  </si>
  <si>
    <t>Name and adress of your suppliers</t>
  </si>
  <si>
    <t>bezeichnung und teilenummer des zukaufteils</t>
  </si>
  <si>
    <t>Name and number of the purchased part</t>
  </si>
  <si>
    <t>Anmerkung</t>
  </si>
  <si>
    <t>Comment</t>
  </si>
  <si>
    <t>anmerkung</t>
  </si>
  <si>
    <t>characteristic/nominal value/unit</t>
  </si>
  <si>
    <t>Merkmal / Sollwert / Einheit</t>
  </si>
  <si>
    <t>Characteristic / nominal value / unit</t>
  </si>
  <si>
    <t>inspection methode</t>
  </si>
  <si>
    <t>Prüfmethode</t>
  </si>
  <si>
    <t>Inspection methode</t>
  </si>
  <si>
    <t>Bezeichnung Prüfgerät</t>
  </si>
  <si>
    <t>Wareneingangs-Nr./ Datum:</t>
  </si>
  <si>
    <t>Goods inwards No./ Date:</t>
  </si>
  <si>
    <t>Order schedule No./ Date:</t>
  </si>
  <si>
    <t>Rejected  -  re-sampling required</t>
  </si>
  <si>
    <t>abgelehnt  -  Nachbemusterung erforderlich</t>
  </si>
  <si>
    <t>MSA durchgeführt (Ergebnis)</t>
  </si>
  <si>
    <t>MSA done
(result)</t>
  </si>
  <si>
    <t>Prüfmittelfähigkeits-nachweis durchgeführt
(Ergebnis)</t>
  </si>
  <si>
    <t>Wichtige Regeln für die PPF Erstellung:</t>
  </si>
  <si>
    <t>copypackagingproposal</t>
  </si>
  <si>
    <t>rulesforppa</t>
  </si>
  <si>
    <t>mainrulesppaelaboration</t>
  </si>
  <si>
    <t xml:space="preserve">22 Approval of coating systems </t>
  </si>
  <si>
    <t>no</t>
  </si>
  <si>
    <t>yes</t>
  </si>
  <si>
    <t>Checklist / general questions to P-FMEA</t>
  </si>
  <si>
    <t>Was the FMEA updated after recommended actions were implemented?</t>
  </si>
  <si>
    <t>Can methods listed detect the causes or failure modes?</t>
  </si>
  <si>
    <t>Are actions directed at eliminating causes or reducing the occurance of the causes of the failure modes?</t>
  </si>
  <si>
    <t>Have preventive control actions, instead of detection actions, been considered where applicable (e.g. POKA-YOKE)?</t>
  </si>
  <si>
    <t>Has input / experience from similar parts been used?</t>
  </si>
  <si>
    <t>Is a P-FMEA available for the latest drawing?</t>
  </si>
  <si>
    <t>FMEA-No.:</t>
  </si>
  <si>
    <t>FMEA-Date:</t>
  </si>
  <si>
    <t>Measures for</t>
  </si>
  <si>
    <t>completed</t>
  </si>
  <si>
    <t>later</t>
  </si>
  <si>
    <t>0 &lt; RPN &lt; 80</t>
  </si>
  <si>
    <t>80 &lt; RPN &lt; 125</t>
  </si>
  <si>
    <t>125 &lt; RPN &lt; 200</t>
  </si>
  <si>
    <t>200 &lt; RPN &lt; 300</t>
  </si>
  <si>
    <t>RPN &gt; 300</t>
  </si>
  <si>
    <t>Total of columns with measures</t>
  </si>
  <si>
    <t>Number of failure causes/elements</t>
  </si>
  <si>
    <t>Rev.:</t>
  </si>
  <si>
    <t>Checkliste / allgemeine Fragen zur P-FMEA</t>
  </si>
  <si>
    <t>checklistpfmea</t>
  </si>
  <si>
    <t>Ist eine P-FMEA vorhanden für den aktuell gültigen Zeichnungsstand?</t>
  </si>
  <si>
    <t>pfmeavorhanden</t>
  </si>
  <si>
    <t>pfmeavorgaben</t>
  </si>
  <si>
    <t>pfmeateam</t>
  </si>
  <si>
    <t>mhinput</t>
  </si>
  <si>
    <t>Wurden Massnahmen geplant und umgesetzt für höhere RPZ-Werte?</t>
  </si>
  <si>
    <t>höhererpzwerte</t>
  </si>
  <si>
    <t>Wurde die FMEA aktualisiert nachdem vorgeschlagene Massnahmen umgesetzt wurden?</t>
  </si>
  <si>
    <t>pfmeaaktualisiert</t>
  </si>
  <si>
    <t>bauteilerfahrung</t>
  </si>
  <si>
    <t>Wurden präventive Massnahmen anstelle von Prüfmassnahmen verwendet, wo sinnvoll (z.B. POKA-YOKE)?</t>
  </si>
  <si>
    <t>präventivemassnahmen</t>
  </si>
  <si>
    <t>Können die aufgeführten Massnahmen die Ursachen bzw. Fehler vermeiden?</t>
  </si>
  <si>
    <t>fehlervermeidung</t>
  </si>
  <si>
    <t>Sind Massnahmen ausgerichtet auf Ursachenvermeidung oder Reduzierung der Auftretenswahrscheinlichkeit von Fehlern?</t>
  </si>
  <si>
    <t>ursachenvermeidung</t>
  </si>
  <si>
    <t>Were special manufacturing/assembly controls identified and implemented for Special Characteristics?</t>
  </si>
  <si>
    <t>besonderemerkmale</t>
  </si>
  <si>
    <t>FMEA-Nr.:</t>
  </si>
  <si>
    <t>fmeanr</t>
  </si>
  <si>
    <t>FMEA-Datum:</t>
  </si>
  <si>
    <t>fmeadatum</t>
  </si>
  <si>
    <t>Due date of measures</t>
  </si>
  <si>
    <t>Termin für Massnahmen</t>
  </si>
  <si>
    <t>terminmassnahmen</t>
  </si>
  <si>
    <t>Anzahl der Fehlerursachen</t>
  </si>
  <si>
    <t>anzahlfehlerursachen</t>
  </si>
  <si>
    <t>erledigt</t>
  </si>
  <si>
    <t>später</t>
  </si>
  <si>
    <t>ohne Massnahmen</t>
  </si>
  <si>
    <t>ohnemassnahmen</t>
  </si>
  <si>
    <t>without measures</t>
  </si>
  <si>
    <t>Massnahmen für</t>
  </si>
  <si>
    <t>massnahmenfür</t>
  </si>
  <si>
    <t>Summer der Spalten mit Massnahmen</t>
  </si>
  <si>
    <t>summespaltenmassnahmen</t>
  </si>
  <si>
    <t>0 &lt; RPZ &lt; 80</t>
  </si>
  <si>
    <t>80 &lt; RPZ &lt; 125</t>
  </si>
  <si>
    <t>125 &lt; RPZ &lt; 200</t>
  </si>
  <si>
    <t>200 &lt; RPZ &lt; 300</t>
  </si>
  <si>
    <t>RPZ &gt; 300</t>
  </si>
  <si>
    <t>0&lt;rpz&lt;80</t>
  </si>
  <si>
    <t>80&lt;rpz&lt;125</t>
  </si>
  <si>
    <t>125&lt;rpz&lt;200</t>
  </si>
  <si>
    <t>200&lt;rpz&lt;300</t>
  </si>
  <si>
    <t>rpz&gt;300</t>
  </si>
  <si>
    <t>Zusammenfassung P-FMEA</t>
  </si>
  <si>
    <t>Summary P-FMEA</t>
  </si>
  <si>
    <t>zusammenfassungpfmea</t>
  </si>
  <si>
    <t>Has a cross-functional FMEA team been formed to do the FMEA?</t>
  </si>
  <si>
    <t>Wurde die P-FMEA entsprechend den Vorgaben von FORD/GM/Chrysler oder VDA gemacht?</t>
  </si>
  <si>
    <t>Was P-FMEA done according to the requirements from FORD/GM/Chrysler or VDA?</t>
  </si>
  <si>
    <t>M+H input / severity and Special Characteristics identification has been applied?</t>
  </si>
  <si>
    <t>Wurde die P-FMEA durch ein funktionsübergreifendes Team erarbeitet?</t>
  </si>
  <si>
    <t>Wurde der M+H Input / Bedeutung und Kennzeichnung von Besonderen Merkmalen angewendet?</t>
  </si>
  <si>
    <t>Were actions planned and implemented for higher RPN values?</t>
  </si>
  <si>
    <t>Wurde Input / Erfahrungen von ähnlichen Bauteilen genutzt?</t>
  </si>
  <si>
    <t>Wurden spezielle Fertigungs-/Montageprüfungen für Besondere Merkmale identifiziert und eingeführt?</t>
  </si>
  <si>
    <t>Important rules to be considered for the PPA elaboration:</t>
  </si>
  <si>
    <t>1.10 Zuverlässigkeitsprüfungen</t>
  </si>
  <si>
    <t>14 Test / Inspection equipment list</t>
  </si>
  <si>
    <t>Fax/Email:</t>
  </si>
  <si>
    <t>Bestellabruf-Nr./ Datum:</t>
  </si>
  <si>
    <t>Lieferscheinnummer:</t>
  </si>
  <si>
    <t>In case M+H becomes legal owner/proprietor of the tooling(s)/fixture(s): With acceptance of this PPA report M+H shall become the legal owner/proprietor of the tooling(s), fixture(s) and corresponding CAD-Data which are mentioned in the Purchasing Order (PO), the supplier shall be the factual possessor.</t>
  </si>
  <si>
    <t>Für den Fall, dass M+H Werkzeug-/Vorrichtungseigentümer wird: Mit Abnahme dieses PPF-Berichts wird M+H Eigentümer der Werkzeuge, Vorrichtungen und entsprechenden CAD-Daten, die Umfang der Bestellung sind. Die Übergabe des Werkzeugs/Vorrichtung wird durch die Vereinbarung ersetzt, dass der Lieferant unmittelbarer Besitzer bleibt und M+H den mittelbaren Besitz erhält.</t>
  </si>
  <si>
    <t>Bei Rücksendung Lieferschein-Nr./ -datum:</t>
  </si>
  <si>
    <t>IMDS data-set has been drawn up under IMDS ID No.:</t>
  </si>
  <si>
    <t>Lieferant/Produktionsstandort:</t>
  </si>
  <si>
    <t>Confirmation Supplier - It is hereby confirmed that the sample submission has been carried out in accordance with the agreed submission level to VDA volume 2</t>
  </si>
  <si>
    <t>X</t>
  </si>
  <si>
    <t>Design level:</t>
  </si>
  <si>
    <t>Presented:</t>
  </si>
  <si>
    <t>Current:</t>
  </si>
  <si>
    <t>For electronic components:</t>
  </si>
  <si>
    <t>Conditionally OK (yellow)</t>
  </si>
  <si>
    <t>NOK (red)</t>
  </si>
  <si>
    <t>Plant</t>
  </si>
  <si>
    <t>Equipment</t>
  </si>
  <si>
    <t>Farbe</t>
  </si>
  <si>
    <t>Farbe:</t>
  </si>
  <si>
    <t>Colour:</t>
  </si>
  <si>
    <t>Entwurfsstufe</t>
  </si>
  <si>
    <t>Y</t>
  </si>
  <si>
    <t>elektronische Komponenten</t>
  </si>
  <si>
    <t>Hardwarestand:</t>
  </si>
  <si>
    <t>Hardware status:</t>
  </si>
  <si>
    <t>Softwarestand:</t>
  </si>
  <si>
    <t>Software status:</t>
  </si>
  <si>
    <t>Bedingt OK</t>
  </si>
  <si>
    <t>NOK</t>
  </si>
  <si>
    <t>Maschinen</t>
  </si>
  <si>
    <t>Machines</t>
  </si>
  <si>
    <t>Anlagen</t>
  </si>
  <si>
    <t>grün</t>
  </si>
  <si>
    <t>gelb</t>
  </si>
  <si>
    <t>rot</t>
  </si>
  <si>
    <t>Tools</t>
  </si>
  <si>
    <t>Werkzeuge</t>
  </si>
  <si>
    <t>grün1</t>
  </si>
  <si>
    <t>rot1</t>
  </si>
  <si>
    <t>No production tool</t>
  </si>
  <si>
    <t>Verbindung</t>
  </si>
  <si>
    <t>Logistik</t>
  </si>
  <si>
    <t>Logistics</t>
  </si>
  <si>
    <t>Chaining /</t>
  </si>
  <si>
    <t>Serie</t>
  </si>
  <si>
    <t>Series</t>
  </si>
  <si>
    <t>gelb2</t>
  </si>
  <si>
    <t>grün2</t>
  </si>
  <si>
    <t>rot2</t>
  </si>
  <si>
    <t>Quality deficiencies to be expected</t>
  </si>
  <si>
    <t>Durchlaufzeit</t>
  </si>
  <si>
    <t>Cycle time</t>
  </si>
  <si>
    <t>Menge</t>
  </si>
  <si>
    <t>Quantity</t>
  </si>
  <si>
    <t>grün3</t>
  </si>
  <si>
    <t>No production tools</t>
  </si>
  <si>
    <t>No production line</t>
  </si>
  <si>
    <t>gelb3</t>
  </si>
  <si>
    <t>rot3</t>
  </si>
  <si>
    <t>grün4</t>
  </si>
  <si>
    <t>gelb4</t>
  </si>
  <si>
    <t>rot4</t>
  </si>
  <si>
    <t>grün5</t>
  </si>
  <si>
    <t>gelb5</t>
  </si>
  <si>
    <t>rot5</t>
  </si>
  <si>
    <t>Personal</t>
  </si>
  <si>
    <t>Personnel</t>
  </si>
  <si>
    <t>grün6</t>
  </si>
  <si>
    <t>gelb6</t>
  </si>
  <si>
    <t>rot6</t>
  </si>
  <si>
    <t>Prozessfähigkeit</t>
  </si>
  <si>
    <t>grün7</t>
  </si>
  <si>
    <t>gelb7</t>
  </si>
  <si>
    <t>rot7</t>
  </si>
  <si>
    <t>Gesamtergebnis</t>
  </si>
  <si>
    <t>Date</t>
  </si>
  <si>
    <t>Signature supplier</t>
  </si>
  <si>
    <t>Unterschrift Lieferant</t>
  </si>
  <si>
    <t>Agreed capability fully achieved</t>
  </si>
  <si>
    <t>grün8</t>
  </si>
  <si>
    <t>gelb8</t>
  </si>
  <si>
    <t>rot8</t>
  </si>
  <si>
    <t>Test</t>
  </si>
  <si>
    <t>Overall result:</t>
  </si>
  <si>
    <t>Gesamtergebnis:</t>
  </si>
  <si>
    <t>Datum1</t>
  </si>
  <si>
    <t>Hardware level:</t>
  </si>
  <si>
    <t>Software level:</t>
  </si>
  <si>
    <t>Hardware level</t>
  </si>
  <si>
    <t>Software level</t>
  </si>
  <si>
    <t>Test/Inspection                 equipement</t>
  </si>
  <si>
    <t>Vorrichtungen</t>
  </si>
  <si>
    <t>Kein Serienwerkzeug</t>
  </si>
  <si>
    <t>Qualitätsbeeinträchtigungen zu erwarten</t>
  </si>
  <si>
    <t>Taktzeit /</t>
  </si>
  <si>
    <t>Stückzahl</t>
  </si>
  <si>
    <t>Keine Serienwerkzeuge</t>
  </si>
  <si>
    <t>Keine Serienfertigungslinie</t>
  </si>
  <si>
    <t>Vereinbarte Fähigkeitskennwerte voll erfüllt</t>
  </si>
  <si>
    <t>Konstruktionsstand:</t>
  </si>
  <si>
    <t>Bei Elektronikkomponenten:</t>
  </si>
  <si>
    <t>Verkettung</t>
  </si>
  <si>
    <t>Prüfmittel</t>
  </si>
  <si>
    <t>vorgestellt:</t>
  </si>
  <si>
    <t>aktuell:</t>
  </si>
  <si>
    <t>Maß</t>
  </si>
  <si>
    <t>Oberfläche</t>
  </si>
  <si>
    <t>Struktur</t>
  </si>
  <si>
    <t>Farbe/ Narbung</t>
  </si>
  <si>
    <t>Werkstoff</t>
  </si>
  <si>
    <t>Funktion</t>
  </si>
  <si>
    <t>Verbaubarkeit</t>
  </si>
  <si>
    <t>Zulieferteile</t>
  </si>
  <si>
    <t>Maßlich n.i.O.</t>
  </si>
  <si>
    <t>Nicht verbaubar</t>
  </si>
  <si>
    <t>Geringe Abweichung zur Spezifikation</t>
  </si>
  <si>
    <t>Freigegeben</t>
  </si>
  <si>
    <t>Bedingt freigegeben</t>
  </si>
  <si>
    <t>Abgelehnt bzw. noch nicht bemustert</t>
  </si>
  <si>
    <t>rot71</t>
  </si>
  <si>
    <t>gelb71</t>
  </si>
  <si>
    <t>grün71</t>
  </si>
  <si>
    <t>rot61</t>
  </si>
  <si>
    <t>grün11</t>
  </si>
  <si>
    <t>gelb11</t>
  </si>
  <si>
    <t>rot11</t>
  </si>
  <si>
    <t>grün21</t>
  </si>
  <si>
    <t>gelb21</t>
  </si>
  <si>
    <t>rot21</t>
  </si>
  <si>
    <t>grün31</t>
  </si>
  <si>
    <t>gelb31</t>
  </si>
  <si>
    <t>rot31</t>
  </si>
  <si>
    <t>grün41</t>
  </si>
  <si>
    <t>gelb41</t>
  </si>
  <si>
    <t>rot41</t>
  </si>
  <si>
    <t>grün51</t>
  </si>
  <si>
    <t>gelb51</t>
  </si>
  <si>
    <t>rot51</t>
  </si>
  <si>
    <t>grün61</t>
  </si>
  <si>
    <t>gelb61</t>
  </si>
  <si>
    <t>Beurteilung: serienreifer Prozess</t>
  </si>
  <si>
    <t>Beurteilung Prozess</t>
  </si>
  <si>
    <t>Beurteilung Teil</t>
  </si>
  <si>
    <t>Assessment: Product</t>
  </si>
  <si>
    <t>Beurteilung: Serienreifes Teil</t>
  </si>
  <si>
    <t>Assessment: Production process</t>
  </si>
  <si>
    <t>Dimensions</t>
  </si>
  <si>
    <t>Surface</t>
  </si>
  <si>
    <t>Structure</t>
  </si>
  <si>
    <t>Material</t>
  </si>
  <si>
    <t>Function</t>
  </si>
  <si>
    <t>Installability</t>
  </si>
  <si>
    <t>Purchased parts</t>
  </si>
  <si>
    <t>Dimensionally NOK</t>
  </si>
  <si>
    <t>Cannot be installed</t>
  </si>
  <si>
    <t>Minor deviation from specification</t>
  </si>
  <si>
    <t>Released</t>
  </si>
  <si>
    <t>Conditionally released</t>
  </si>
  <si>
    <t>Rejected or not yet submitted as samples</t>
  </si>
  <si>
    <t>OK (green)</t>
  </si>
  <si>
    <t>Colour/ grain; finish</t>
  </si>
  <si>
    <t>i.O. (grün)</t>
  </si>
  <si>
    <t>Bedingt i.O. (gelb)</t>
  </si>
  <si>
    <t>n.i.O. (rot)</t>
  </si>
  <si>
    <t>Ref. Nr.:</t>
  </si>
  <si>
    <t>Ref. No.:</t>
  </si>
  <si>
    <t>Part No.:</t>
  </si>
  <si>
    <t>Änderungsstand</t>
  </si>
  <si>
    <t>Change level</t>
  </si>
  <si>
    <t>Werkzeugnummer</t>
  </si>
  <si>
    <t>Tool number</t>
  </si>
  <si>
    <t>Werkzeugstandort</t>
  </si>
  <si>
    <t>Tool location</t>
  </si>
  <si>
    <t>Quantity tools</t>
  </si>
  <si>
    <t>Freigabe Status</t>
  </si>
  <si>
    <t>Approval status</t>
  </si>
  <si>
    <t>Bestätigung Lieferant</t>
  </si>
  <si>
    <t>Confirmation by supplier</t>
  </si>
  <si>
    <t>Email:</t>
  </si>
  <si>
    <t>Anzahl</t>
  </si>
  <si>
    <t>Anzahl2</t>
  </si>
  <si>
    <t>Fax</t>
  </si>
  <si>
    <t>email</t>
  </si>
  <si>
    <t>Freigabe</t>
  </si>
  <si>
    <t>Approval:</t>
  </si>
  <si>
    <t>Anzahl Nester/ Werk-zeug</t>
  </si>
  <si>
    <t>Anzahl Werk-zeuge</t>
  </si>
  <si>
    <t>Werkzeugnummer/ TL-Nr.</t>
  </si>
  <si>
    <t>Werkzeug Abmessungen</t>
  </si>
  <si>
    <t>Tool Size</t>
  </si>
  <si>
    <t>Maße</t>
  </si>
  <si>
    <t>Gewicht</t>
  </si>
  <si>
    <t>Werk-zeug Gewicht</t>
  </si>
  <si>
    <t>(Höhe*Länge*Breite)</t>
  </si>
  <si>
    <t>(Height*Length*Width)</t>
  </si>
  <si>
    <t>Änderungs-stand</t>
  </si>
  <si>
    <t>Quantity nests/tool</t>
  </si>
  <si>
    <t>%</t>
  </si>
  <si>
    <t xml:space="preserve">% </t>
  </si>
  <si>
    <t>x</t>
  </si>
  <si>
    <t>=</t>
  </si>
  <si>
    <t>amount of manufactured parts during run@rate</t>
  </si>
  <si>
    <t>Anzahl gefertigte Teile während des Run@Rate</t>
  </si>
  <si>
    <t>Amount of parts manufactured during the Run@Rate</t>
  </si>
  <si>
    <t>pc</t>
  </si>
  <si>
    <t>Stück</t>
  </si>
  <si>
    <t>Comments</t>
  </si>
  <si>
    <t>amount of n.o.k. parts</t>
  </si>
  <si>
    <t>Menge n.i.O. - Teile</t>
  </si>
  <si>
    <t>Amount of n.O.K. parts</t>
  </si>
  <si>
    <t>n.O.K. - visual check not according to drawing / border samples</t>
  </si>
  <si>
    <t>n.o.k. - dimensional / material not according to drawing</t>
  </si>
  <si>
    <t>n.o.k. - function not according to drawing / process verifification plan</t>
  </si>
  <si>
    <t>actual scrap</t>
  </si>
  <si>
    <t>Tatsächlicher Ausschuß</t>
  </si>
  <si>
    <t>Actual scrap</t>
  </si>
  <si>
    <t>amount of rework parts</t>
  </si>
  <si>
    <t>Anzahl Nacharbeitsteile</t>
  </si>
  <si>
    <t>Amount of rework parts</t>
  </si>
  <si>
    <t>first time quality (ftq)
(amount of i.o. parts without rework)</t>
  </si>
  <si>
    <t>Anzahl i.O. Teile (ohne Nacharbeit)
(First Time Quality - FTQ)</t>
  </si>
  <si>
    <t>First Time Quality (FTQ)
(Amount of O.K. parts without rework)</t>
  </si>
  <si>
    <t>estimated scrap
(estimated by supplier)</t>
  </si>
  <si>
    <t>Geschätzter Ausschuß
(von Lieferant geschätzt)</t>
  </si>
  <si>
    <t>Estimated scrap
(estimated by supplier)</t>
  </si>
  <si>
    <t>cp data from prfpp</t>
  </si>
  <si>
    <t>Daten von ursprünglicher Kapazitätsplanung (aus PRFPP)</t>
  </si>
  <si>
    <t>Data from original Capacity Planning (from PRFPP)</t>
  </si>
  <si>
    <t>witnessed during R@R</t>
  </si>
  <si>
    <t>Während R@R festgestellte Fertigungskapazität</t>
  </si>
  <si>
    <t>Production capacity found during R@R</t>
  </si>
  <si>
    <t>Engpass-Prozess:</t>
  </si>
  <si>
    <t>Bottleneck Process:</t>
  </si>
  <si>
    <t>process:</t>
  </si>
  <si>
    <t>current shift model:</t>
  </si>
  <si>
    <t>Aktuelles Schichtmodel (wie in Serie geplant):</t>
  </si>
  <si>
    <t>Current shift model (as planned in serial production):</t>
  </si>
  <si>
    <t>Peak production</t>
  </si>
  <si>
    <t>Kammlinie:</t>
  </si>
  <si>
    <t>Peak production:</t>
  </si>
  <si>
    <t>pc./week</t>
  </si>
  <si>
    <t>Stück/Woche</t>
  </si>
  <si>
    <t>expected to start in week:</t>
  </si>
  <si>
    <t>erwartet ab KW:</t>
  </si>
  <si>
    <t>shifts / week</t>
  </si>
  <si>
    <t>Schichten/Woche</t>
  </si>
  <si>
    <t>hours / shift</t>
  </si>
  <si>
    <t>Stunden/Schicht</t>
  </si>
  <si>
    <t>min. / week</t>
  </si>
  <si>
    <t>Minuten/Woche</t>
  </si>
  <si>
    <t>min</t>
  </si>
  <si>
    <t>Min.</t>
  </si>
  <si>
    <t>min.</t>
  </si>
  <si>
    <t>Produzierte Gut-Teile</t>
  </si>
  <si>
    <t>Produced good parts:</t>
  </si>
  <si>
    <t>produced good parts:</t>
  </si>
  <si>
    <t>produced scrap:</t>
  </si>
  <si>
    <t>Produzierter Ausschuß:</t>
  </si>
  <si>
    <t>Produced scrap:</t>
  </si>
  <si>
    <t>production time without down times:</t>
  </si>
  <si>
    <t>Fertigungszeit ohne Stillstandzeiten:</t>
  </si>
  <si>
    <t>Production time without down times:</t>
  </si>
  <si>
    <t>down times:</t>
  </si>
  <si>
    <t>Stillstandzeiten:</t>
  </si>
  <si>
    <t>Down times:</t>
  </si>
  <si>
    <t>set up time:</t>
  </si>
  <si>
    <t>Rüstzeit:</t>
  </si>
  <si>
    <t>Set-up time:</t>
  </si>
  <si>
    <t>Losgröße:</t>
  </si>
  <si>
    <t>Lot size:</t>
  </si>
  <si>
    <t>set up time, actual:</t>
  </si>
  <si>
    <t>Rüstzeit IST:</t>
  </si>
  <si>
    <t>Set-up time, actual:</t>
  </si>
  <si>
    <t>production time:</t>
  </si>
  <si>
    <t>Fertigungszeit, kalkuliert:</t>
  </si>
  <si>
    <t>Production time, calculated:</t>
  </si>
  <si>
    <t>lot size:</t>
  </si>
  <si>
    <t>planned shift model</t>
  </si>
  <si>
    <t>geplantes Schichtmodel:</t>
  </si>
  <si>
    <t>Planned shift model:</t>
  </si>
  <si>
    <t>data for actual performance calculation:</t>
  </si>
  <si>
    <t>Daten für Berechnung der Fertigungszeit:</t>
  </si>
  <si>
    <t>Data for actual performance calculation:</t>
  </si>
  <si>
    <t>set up rate:</t>
  </si>
  <si>
    <t>Anteil Rüsten, kalkuliert:</t>
  </si>
  <si>
    <t>Set-up rate:</t>
  </si>
  <si>
    <t>total time per piece:</t>
  </si>
  <si>
    <t>Gesamtzeit pro Teil:</t>
  </si>
  <si>
    <t>Total time per piece:</t>
  </si>
  <si>
    <t>Ausschußrate, kalkuliert:</t>
  </si>
  <si>
    <t>scrap:</t>
  </si>
  <si>
    <t>Scrap rate:</t>
  </si>
  <si>
    <t>equipment availability:</t>
  </si>
  <si>
    <t>Anlagenverfügbarkeit, kalkuliert:</t>
  </si>
  <si>
    <t>Equipment availability:</t>
  </si>
  <si>
    <t>reserved capacity for mann+hummel:</t>
  </si>
  <si>
    <t>Kapazitätsreservierung für MANN+HUMMEL:</t>
  </si>
  <si>
    <t>Reserved Capacity for MANN+HUMMEL:</t>
  </si>
  <si>
    <t># of same machines used in parallel:</t>
  </si>
  <si>
    <t>Anzahl gleicher Maschinen, die parallel zum Einsatz kommen:</t>
  </si>
  <si>
    <t>explanation # of same machines</t>
  </si>
  <si>
    <t>(&gt; 1 nur wenn mehrere Maschinen auch gleichzeitig in Betrieb sind)</t>
  </si>
  <si>
    <t>(&gt; 1 only if more than 1 machine will be operating at the same time)</t>
  </si>
  <si>
    <t>(e.g. 100% if machine only used for m+h. 100% is max.)</t>
  </si>
  <si>
    <t>(z.B. 100% wenn Maschine nur für M+H eingesetzt. 100% ist max.)</t>
  </si>
  <si>
    <t>(e.g. 100% if machine only used for M+H. 100% is max.)</t>
  </si>
  <si>
    <t>(e.g. process stop, tool removed, setup, process start up - last good parts until first good parts)</t>
  </si>
  <si>
    <t>(z.B. Fertigungsstop/WZ-Wechsel/Rüsten/Prozessanlauf - letztes Gutteil bis zum ersten Gutteil)</t>
  </si>
  <si>
    <t>(e.g. process stop/tool removal/setup/process start up - last good parts until first good parts)</t>
  </si>
  <si>
    <t>sec../ pc.</t>
  </si>
  <si>
    <t>Sek./Stück</t>
  </si>
  <si>
    <t>sec./ pc.</t>
  </si>
  <si>
    <t>set up rate, actual:</t>
  </si>
  <si>
    <t>Anteil Rüsten IST:</t>
  </si>
  <si>
    <t>Set-up rate, actual:</t>
  </si>
  <si>
    <t>production time, actual:</t>
  </si>
  <si>
    <t>Fertigungszeit IST:</t>
  </si>
  <si>
    <t>Production time, actual:</t>
  </si>
  <si>
    <t>equipment availability, actual:</t>
  </si>
  <si>
    <t>Anlagenverfügbarkeit IST:</t>
  </si>
  <si>
    <t>Equipment availability, actual:</t>
  </si>
  <si>
    <t>scrap, actual:</t>
  </si>
  <si>
    <t>Ausschussrate IST:</t>
  </si>
  <si>
    <t>Scrap rate, actual:</t>
  </si>
  <si>
    <t>estimated quantities</t>
  </si>
  <si>
    <t>Kalkulierte Stückzahl</t>
  </si>
  <si>
    <t>Estimated quantities</t>
  </si>
  <si>
    <t>Calculated quantities (based on Run@Rate result)</t>
  </si>
  <si>
    <t>Errechnete Stückzahl (aus Run@Rate abgeleitet)</t>
  </si>
  <si>
    <t># of working days per week</t>
  </si>
  <si>
    <t>Anzahl Arbeitstage/Woche</t>
  </si>
  <si>
    <t># of working days per year</t>
  </si>
  <si>
    <t>Anzahl Arbeitstage/Jahr</t>
  </si>
  <si>
    <t>max. pc./shift calculated</t>
  </si>
  <si>
    <t>max. Stück/Schicht, kalkuliert</t>
  </si>
  <si>
    <t>pc. / shift calculated</t>
  </si>
  <si>
    <t>Stück/Schicht, kalkuliert (reserv. Kapazität)</t>
  </si>
  <si>
    <t>pc./shift calculated at reserved capacity</t>
  </si>
  <si>
    <t>pc. / day calculated</t>
  </si>
  <si>
    <t>Stück/Tag, kalkuliert (reserv. Kapazität)</t>
  </si>
  <si>
    <t>pc. / day calculated at reserved capacity</t>
  </si>
  <si>
    <t>pc. / week calculated</t>
  </si>
  <si>
    <t>Stück/Woche, kalkuliert (reserv. Kapazität)</t>
  </si>
  <si>
    <t>pc. / week calculated at reserved capacity</t>
  </si>
  <si>
    <t>pc. / year calculated</t>
  </si>
  <si>
    <t>Stück/Jahr, kalkuliert (reserv. Kapazität)</t>
  </si>
  <si>
    <t>pc. / year calculated at reserved capacity</t>
  </si>
  <si>
    <t>max. pc./shift estipolated</t>
  </si>
  <si>
    <t>pc / shift at reserved capacity</t>
  </si>
  <si>
    <t>Stück / Schicht (bei reservierter Maschinienkapazität)</t>
  </si>
  <si>
    <t>pc. / day at reserved capacity</t>
  </si>
  <si>
    <t>Stück / Tag (bei reservierter Maschinienkapazität)</t>
  </si>
  <si>
    <t>pc. / week at reserved capacity</t>
  </si>
  <si>
    <t>Stück / Woche (bei reservierter Maschinenkapazität)</t>
  </si>
  <si>
    <t>pc. / year at reserved capacity</t>
  </si>
  <si>
    <t>Stück / Jahr (bei reservierter Maschinenkapazität)</t>
  </si>
  <si>
    <t>Sonstiges</t>
  </si>
  <si>
    <t>Other</t>
  </si>
  <si>
    <t>Long-term production stop more than 12 months</t>
  </si>
  <si>
    <t>Tool Weight</t>
  </si>
  <si>
    <t>Production tool</t>
  </si>
  <si>
    <t>Serienwerkzeug</t>
  </si>
  <si>
    <t>accepted</t>
  </si>
  <si>
    <t>abgenommen</t>
  </si>
  <si>
    <t>optimiert</t>
  </si>
  <si>
    <t>improved/corrected</t>
  </si>
  <si>
    <t>Dimensionally OK</t>
  </si>
  <si>
    <t>no rework</t>
  </si>
  <si>
    <t>Maßlich i.O.</t>
  </si>
  <si>
    <t>keine Nacharbeit</t>
  </si>
  <si>
    <t>with rework by supplier or non-critical dimensions NOK (deviation permit is available)</t>
  </si>
  <si>
    <t>mit Nacharbeit durch Lieferant oder unkritische Werte n.i.O. (Abweicherlaubnis)</t>
  </si>
  <si>
    <t>no sink marks, no corrugation</t>
  </si>
  <si>
    <t>i.O.</t>
  </si>
  <si>
    <t>keine Einfallstellen, keine Welligkeit</t>
  </si>
  <si>
    <t>no sink</t>
  </si>
  <si>
    <t>Just acceptable</t>
  </si>
  <si>
    <t>complies with boundary sample</t>
  </si>
  <si>
    <t>entspricht Grenzmuster</t>
  </si>
  <si>
    <t>Gerade noch akzeptabel</t>
  </si>
  <si>
    <t>Grenzmuster</t>
  </si>
  <si>
    <t>Significant non-conformance / defect</t>
  </si>
  <si>
    <t>not suitable for assessment</t>
  </si>
  <si>
    <t>Grobe Abweichung / Fehler</t>
  </si>
  <si>
    <t>bzw. nicht zu beurteilen</t>
  </si>
  <si>
    <t>nicht zu beurteilen</t>
  </si>
  <si>
    <t>Production material</t>
  </si>
  <si>
    <t>Customers specification met</t>
  </si>
  <si>
    <t>Serienwerkstoff</t>
  </si>
  <si>
    <t>Kundenspezifikation erfüllt</t>
  </si>
  <si>
    <t>Kundenspezi</t>
  </si>
  <si>
    <t>No production material or different processing or customer's specification not met</t>
  </si>
  <si>
    <t>Deviation permit available; material data sheet (IMDS) is not available or complete</t>
  </si>
  <si>
    <t>Kein Serienwerkstoff oder andere Verarbeitung oder Kundenspezifikation nicht erfüllt</t>
  </si>
  <si>
    <t>Abweicherlaubnis liegt vor; kein oder unvollständiges Materialdatenblatt / IMDS</t>
  </si>
  <si>
    <t>IMDS</t>
  </si>
  <si>
    <t>No production material</t>
  </si>
  <si>
    <t>Customer's specification not met/ demonstrated</t>
  </si>
  <si>
    <t>Kein Serienwerkstoff</t>
  </si>
  <si>
    <t>Kundenspezifikation nicht erfüllt / nachgewiesen</t>
  </si>
  <si>
    <t>Kundenspezi nicht</t>
  </si>
  <si>
    <t>Can be installed</t>
  </si>
  <si>
    <t>without extra work</t>
  </si>
  <si>
    <t>Verbaubar</t>
  </si>
  <si>
    <t>ohne Mehraufwand</t>
  </si>
  <si>
    <t>with extra work</t>
  </si>
  <si>
    <t>mit Mehraufwand</t>
  </si>
  <si>
    <t>Function satisfied</t>
  </si>
  <si>
    <t>complies with specification</t>
  </si>
  <si>
    <t>Funktion erfüllt</t>
  </si>
  <si>
    <t>entspricht Spezifikation</t>
  </si>
  <si>
    <t>entspricht Spezi</t>
  </si>
  <si>
    <t>Function NOK or not demonstrated</t>
  </si>
  <si>
    <t>specification not met</t>
  </si>
  <si>
    <t>Funktion n.i.O. bzw. Funktion nicht nachgewiesen</t>
  </si>
  <si>
    <t>Spezifikation nicht erfüllt</t>
  </si>
  <si>
    <t>Spezi nicht</t>
  </si>
  <si>
    <t>Serie am Serienproduktionsort</t>
  </si>
  <si>
    <t>vom Lft. abgenommen; Fähigkeit nachgewiesen</t>
  </si>
  <si>
    <t>Production at production location</t>
  </si>
  <si>
    <t>acceptance checked by supplier, capability demonstrated</t>
  </si>
  <si>
    <t>vom Lft. Abgenommen</t>
  </si>
  <si>
    <t>Serie am Produktionsstandort</t>
  </si>
  <si>
    <t>und keine Qualitätsbeeinträchtigungen in der Serie zu erwarten</t>
  </si>
  <si>
    <t>No quality problems expected in production</t>
  </si>
  <si>
    <t>keine Quali</t>
  </si>
  <si>
    <t>Serie nicht am Produktionsstandort</t>
  </si>
  <si>
    <t>oder Qualitätsbeeinträchtigungen zu erwarten</t>
  </si>
  <si>
    <t>Production not at production location</t>
  </si>
  <si>
    <t>or quality problems to be expected</t>
  </si>
  <si>
    <t>oder Quali</t>
  </si>
  <si>
    <t>released</t>
  </si>
  <si>
    <t>improvement</t>
  </si>
  <si>
    <t>Nicht Serie</t>
  </si>
  <si>
    <t>aber keine Quali</t>
  </si>
  <si>
    <t>No series</t>
  </si>
  <si>
    <t>But no quality deficiencies expected</t>
  </si>
  <si>
    <t>aber keine Qualitätsbeeinträchtigungen in der Serie zu erwarten</t>
  </si>
  <si>
    <t>Serientaktzeit</t>
  </si>
  <si>
    <t>ohne Sondermaßnahmen</t>
  </si>
  <si>
    <t>Production cycle time</t>
  </si>
  <si>
    <t>No special actions</t>
  </si>
  <si>
    <t>no special actions</t>
  </si>
  <si>
    <t>dauerhaft erreichbar mit Sondermaßnahmen</t>
  </si>
  <si>
    <t>Permanantly achievable with special actions</t>
  </si>
  <si>
    <t>mit Sondermaßnahmen nicht erreichbar</t>
  </si>
  <si>
    <t>Not achievable with special actions</t>
  </si>
  <si>
    <t>All production tools / cavities</t>
  </si>
  <si>
    <t>checked / released</t>
  </si>
  <si>
    <t>Mindestens ein Satz Serienwerkzeuge</t>
  </si>
  <si>
    <t>At least one set of series production tool</t>
  </si>
  <si>
    <t>aproved</t>
  </si>
  <si>
    <t>released1</t>
  </si>
  <si>
    <t>Alle Fertigungslinien</t>
  </si>
  <si>
    <t>One production line</t>
  </si>
  <si>
    <t>Eine Fertigungslinie</t>
  </si>
  <si>
    <t>All production lines</t>
  </si>
  <si>
    <t>Gesamtes Serienpersonal</t>
  </si>
  <si>
    <t>All production personnel</t>
  </si>
  <si>
    <t>geschult</t>
  </si>
  <si>
    <t>geschult; Arbeits- und Prüfanweisungen vollständig</t>
  </si>
  <si>
    <t>trained; Complete work &amp; inspection instructions available</t>
  </si>
  <si>
    <t>Ausgewähltes Serienpersonal</t>
  </si>
  <si>
    <t>Selcted production personnel</t>
  </si>
  <si>
    <t>Kein Serienpersonal</t>
  </si>
  <si>
    <t>Arbeits- und Prüfanweisungen unvollständig</t>
  </si>
  <si>
    <t>No production personnel</t>
  </si>
  <si>
    <t>Work &amp; inspection instructions incomplete</t>
  </si>
  <si>
    <t>Arbeit unvollständig</t>
  </si>
  <si>
    <t>Vereinbarte Fähigkeitskennwerte unterschritten</t>
  </si>
  <si>
    <t>100% Kontrolle eingeführt</t>
  </si>
  <si>
    <t>Agreed capability not achieved</t>
  </si>
  <si>
    <t>100% inspection introduced</t>
  </si>
  <si>
    <t>100% Kontrolle</t>
  </si>
  <si>
    <t>Fähigkeitskennwerte nicht nachgewiesen</t>
  </si>
  <si>
    <t>keine 100%-Kontrolle</t>
  </si>
  <si>
    <t>Capability not demonstrated</t>
  </si>
  <si>
    <t>No 100% inspection</t>
  </si>
  <si>
    <t>keine 100% Kontrolle</t>
  </si>
  <si>
    <t>Vollständig vorhanden / abgenommen</t>
  </si>
  <si>
    <t>Fähigkeit nachgewiesen</t>
  </si>
  <si>
    <t>All present, checked and accepted</t>
  </si>
  <si>
    <t>Capabilty demonstrated</t>
  </si>
  <si>
    <t>F. nachgewiesen</t>
  </si>
  <si>
    <t>Nur teilweise vorhanden / abgenommen</t>
  </si>
  <si>
    <t>Ersatzprüfmittel vorhanden</t>
  </si>
  <si>
    <t>Only partially present, checked and accepted</t>
  </si>
  <si>
    <t>Substitute equipment available</t>
  </si>
  <si>
    <t>Ersatzprüfmittel</t>
  </si>
  <si>
    <t>Nicht vorhanden</t>
  </si>
  <si>
    <t>bzw. nicht abgenommen</t>
  </si>
  <si>
    <t>Not present</t>
  </si>
  <si>
    <t>or not checked and accepted</t>
  </si>
  <si>
    <t>or not checked</t>
  </si>
  <si>
    <t>days</t>
  </si>
  <si>
    <t>Mengen:</t>
  </si>
  <si>
    <t>remarks: the number of parts for the performance</t>
  </si>
  <si>
    <t>Anmerkung:   
Die zu fertigende Stückzahl für das Run@Rate ist produktabhängig durch den Lieferanten unter Berücksichtigung des aktuell eingerichteten Schichtmodells, Personalstands, Vorserienbedarfs und wirtschaftlichen Gesichtspunkten festzugelegen. Der Lieferant hat Maßnahmen zu definieren, wenn die Kammlinien im aktuellen Schichtmodell nicht darstellbar sind (z.B. Darstellung Kapazitätsaufbau mit Terminschiene, Maßnahmen zur Senkung von Ausschuß, Fertigungszeit, etc.).</t>
  </si>
  <si>
    <t>Remarks:   
The amount of parts to be produced during the Run@Rate shall be specified by the Supplier depending on actual shift model, recruitment situation, quantity needed for ramp-up, etc. If peak production level cannot be met with the current shift model, measures must be defined by the Supplier (e.g. increase of capacity with timing, reduction of scrap or rework rate, reduction of product cycle time, etc).</t>
  </si>
  <si>
    <t>quantities:</t>
  </si>
  <si>
    <t>Quantities:</t>
  </si>
  <si>
    <t>Quantitative Auswertung (für Engpassprozess)</t>
  </si>
  <si>
    <t>Qualitative Evaluation</t>
  </si>
  <si>
    <t>Qualitative Auswertung</t>
  </si>
  <si>
    <t>quantitative evaluation  (for bottleneck)</t>
  </si>
  <si>
    <t>qualitative evaluation</t>
  </si>
  <si>
    <t>Quantitative Evaluation (for Bottleneck process)</t>
  </si>
  <si>
    <r>
      <t xml:space="preserve">Prozessfähigkeit
</t>
    </r>
    <r>
      <rPr>
        <sz val="10"/>
        <color theme="1"/>
        <rFont val="Arial"/>
        <family val="2"/>
        <charset val="238"/>
      </rPr>
      <t>(falls keine 100%-Kontrolle geplant)</t>
    </r>
  </si>
  <si>
    <t>Process capability
(if 100% inspection is not planned)</t>
  </si>
  <si>
    <t>ok/conditionally ok/nok</t>
  </si>
  <si>
    <t>(OK / Conditionally OK / NOK)</t>
  </si>
  <si>
    <t>(i.O. / bedingt i.O. / n.i.O.)</t>
  </si>
  <si>
    <t>Conditionally OK - follow-on submission required</t>
  </si>
  <si>
    <t>If returned delivery note no. &amp; date:</t>
  </si>
  <si>
    <t>Cm /
Pp</t>
  </si>
  <si>
    <t>Cmk /
Ppk</t>
  </si>
  <si>
    <t>max. pc. / shift estipolated</t>
  </si>
  <si>
    <t>max. Stück / Schicht, ermittelt</t>
  </si>
  <si>
    <t>Part number</t>
  </si>
  <si>
    <t>partnumber</t>
  </si>
  <si>
    <t>Alle Serienwerkzeuge /  Kavitäten</t>
  </si>
  <si>
    <t xml:space="preserve">
- Erstmuster-Teile müssen mit dem endgültigen Serienprozess unter Serienbedingungen hergestellt
  werden. Alle Abweichungen müssen an MANN+HUMMEL kommuniziert werden.
- Alternative PPF Formblätter können verwendet werden, wenn diese inhaltlich equivalent sind.
- Abweichungen von den Forderungen (z.B. masslich oder Material) müssen in einer
  Abweichgenehmigung dokumentiert und MANN+HUMMEL angezeigt werden bevor der PPF an
  MANN+HUMMEL geschickt wird. Entsprechende Maßnahmen sind zu definieren.
- Alle Formblätter müssen ausgefüllt und die im Blatt "Content" beschriebene Reihenfolge beigehalten
  werden.
- Die MANN+HUMMEL vorzulegenden Unterlagen sind im entsprechenden PRFPP definiert (siehe
  entsprechende Vorlagestufe)
- Weitere Details zum PPF Prozesses können im VDA Band 2 gefunden werden.
- Weitere Dokumente, die dem PPF beigefügt werden müssen: siehe PRFPP Ihres Produktes.</t>
  </si>
  <si>
    <t xml:space="preserve">
- Initial Sample part must be produced with the final serial process under serial process conditions. All
  deviations herefrom need to be communicated to MANN+HUMMEL.
- Alternative PPA templates can be used if equivalent to these sheets.
- Deviations from requirements (e.g. dimensional, material) have to be described in a Deviation Permit
  and submitted to the contact person from MANN+HUMMEL prior to sending the PPA to
  MANN+HUMMEL. Actions have to be defined accordingly.
- All sheets have to be filled and the same sequence for the documentation as described in sheet
  "Content" shall be kept.
- The documents to be submited to MANN+HUMMEL are defined in the corresponding PRFPP (see
  Submittion Level)
- Detailed information regarding PPA procedure can be found in VDA Vol. 2.
- Additional documents to be submitted with this PPA package: see relevant PRFPP for your product.</t>
  </si>
  <si>
    <t>Maturity level</t>
  </si>
  <si>
    <t>reifegrad</t>
  </si>
  <si>
    <t>änderungsart</t>
  </si>
  <si>
    <t>Erläuterung Reifegrad</t>
  </si>
  <si>
    <t>Reifegrades</t>
  </si>
  <si>
    <t>Introduction on (production lot/ date)</t>
  </si>
  <si>
    <t>K = Designänderung ; P = Änderung Produktionsprozess inkl. Prüfmethode;
L = Änderung Unterlieferant ; S = Änderung Produktionsstandort;
V = Änderung Verpackung / Transport</t>
  </si>
  <si>
    <t xml:space="preserve">Änderungsart: </t>
  </si>
  <si>
    <t xml:space="preserve">Reason of Change: </t>
  </si>
  <si>
    <t xml:space="preserve">Erläuterung des Reifegrades: </t>
  </si>
  <si>
    <t xml:space="preserve">Explanation of Maturity level: </t>
  </si>
  <si>
    <t>K = Design change ; P = Change of production process incl. inspection;
L = Change of sub-supplier ; S = Change of production location;
V = Change of packaging / transportation</t>
  </si>
  <si>
    <t xml:space="preserve">     </t>
  </si>
  <si>
    <t xml:space="preserve">   </t>
  </si>
  <si>
    <t xml:space="preserve">      </t>
  </si>
  <si>
    <t xml:space="preserve">  </t>
  </si>
  <si>
    <r>
      <t>C1 = Serial Tooling / Equipment used, but still at producer of the Tooling or Equipment;
C2 = Serial Tooling / Equipment at Serial Production, but process steps not yet linked</t>
    </r>
    <r>
      <rPr>
        <sz val="10"/>
        <color rgb="FFFF0000"/>
        <rFont val="Arial"/>
        <family val="2"/>
      </rPr>
      <t>;</t>
    </r>
    <r>
      <rPr>
        <sz val="10"/>
        <color theme="1"/>
        <rFont val="Arial"/>
        <family val="2"/>
        <charset val="238"/>
      </rPr>
      <t xml:space="preserve">
C3 = Serial Tooling / Equipment at Serial Production Supplier, process as for serial production and all
         process steps linked
1, 2, 3,...Identification of the Correction loops for the same Maturity Level (eg. C3.1, C3.2, C3.3)</t>
    </r>
  </si>
  <si>
    <t>C1 = Serien-Werkzeuge / Anlagen verwendet, aber noch beim Hersteller der Werkzeuge bzw. Anlagen;
C2 = Serien-Werkzeuge / Anlagen beim Serienieferant, aber Prozess noch nicht verkettet;
C3 = Serien-Werkzeuge / Anlagen beim Serienlieferant, Prozess wie für Serie und verkettet
1, 2, 3,... Kennzeichnung der verschiedenen Korekturschleifen für den gleichen Reifegrad
(z.B. C3.1, C3.2, C3.3)</t>
  </si>
  <si>
    <t>Reifegrad</t>
  </si>
  <si>
    <t>Produced by:</t>
  </si>
  <si>
    <t>Main release</t>
  </si>
  <si>
    <t>Change release</t>
  </si>
  <si>
    <t>Repeat release (Bugfix)</t>
  </si>
  <si>
    <t>Diagnosis ident.:</t>
  </si>
  <si>
    <t>Order No.</t>
  </si>
  <si>
    <t>Specification
fulfilled</t>
  </si>
  <si>
    <t>Spezifikation
erfüllt</t>
  </si>
  <si>
    <t>Date of issue:</t>
  </si>
  <si>
    <t>Drawing and geometry status (ZGS):</t>
  </si>
  <si>
    <t>ZGS</t>
  </si>
  <si>
    <r>
      <t>Sachnummer</t>
    </r>
    <r>
      <rPr>
        <sz val="10"/>
        <color theme="1"/>
        <rFont val="Arial"/>
        <family val="2"/>
        <charset val="238"/>
      </rPr>
      <t>:</t>
    </r>
  </si>
  <si>
    <r>
      <t>Part number</t>
    </r>
    <r>
      <rPr>
        <sz val="10"/>
        <color theme="1"/>
        <rFont val="Arial"/>
        <family val="2"/>
        <charset val="238"/>
      </rPr>
      <t>:</t>
    </r>
  </si>
  <si>
    <r>
      <t>Freigabe durch</t>
    </r>
    <r>
      <rPr>
        <sz val="10"/>
        <color theme="1"/>
        <rFont val="Arial"/>
        <family val="2"/>
        <charset val="238"/>
      </rPr>
      <t>:</t>
    </r>
  </si>
  <si>
    <r>
      <t>Approved by</t>
    </r>
    <r>
      <rPr>
        <sz val="10"/>
        <color theme="1"/>
        <rFont val="Arial"/>
        <family val="2"/>
        <charset val="238"/>
      </rPr>
      <t>:</t>
    </r>
  </si>
  <si>
    <r>
      <t>Beschreibung der Software</t>
    </r>
    <r>
      <rPr>
        <sz val="10"/>
        <color theme="1"/>
        <rFont val="Arial"/>
        <family val="2"/>
        <charset val="238"/>
      </rPr>
      <t>:</t>
    </r>
  </si>
  <si>
    <t>Changes compared to previouse software:</t>
  </si>
  <si>
    <r>
      <t>Änderungen zur vorherigen Software</t>
    </r>
    <r>
      <rPr>
        <sz val="10"/>
        <color theme="1"/>
        <rFont val="Arial"/>
        <family val="2"/>
        <charset val="238"/>
      </rPr>
      <t>:</t>
    </r>
  </si>
  <si>
    <r>
      <t>Angaben zur Konfiguration</t>
    </r>
    <r>
      <rPr>
        <sz val="10"/>
        <color theme="1"/>
        <rFont val="Arial"/>
        <family val="2"/>
        <charset val="238"/>
      </rPr>
      <t>:</t>
    </r>
  </si>
  <si>
    <t>Kompatibilitat</t>
  </si>
  <si>
    <t>Funktionstests</t>
  </si>
  <si>
    <t>Zeichnung-Geometrie-Stand (ZGS):</t>
  </si>
  <si>
    <t>Änderungen zur vorherigen Software:</t>
  </si>
  <si>
    <t>Grund des Softwareprüfbericht</t>
  </si>
  <si>
    <t>Grund des Softwareprüfberichts</t>
  </si>
  <si>
    <t>Configuration details:</t>
  </si>
  <si>
    <t>Diagnoseerkennung</t>
  </si>
  <si>
    <t>Diagnoseerkennung:</t>
  </si>
  <si>
    <t>Security class:</t>
  </si>
  <si>
    <t>Securityklasse:</t>
  </si>
  <si>
    <t>Hardware part number</t>
  </si>
  <si>
    <t>Software part number 1</t>
  </si>
  <si>
    <t>Software part number 2</t>
  </si>
  <si>
    <t>Software part number 3</t>
  </si>
  <si>
    <t>Software part number 4</t>
  </si>
  <si>
    <t>Signature</t>
  </si>
  <si>
    <t>Reason for the software test report</t>
  </si>
  <si>
    <t>softwareprüfbericht</t>
  </si>
  <si>
    <t>anlage zum ppfb</t>
  </si>
  <si>
    <t xml:space="preserve">Anlage zum PPFB     </t>
  </si>
  <si>
    <t>Addendum to PPAR</t>
  </si>
  <si>
    <t>Software Test Report</t>
  </si>
  <si>
    <t>Blatt 2: Durchgeführte Prüfungen</t>
  </si>
  <si>
    <t>Sheet 2: Tests completed</t>
  </si>
  <si>
    <t>Allgemeine Angaben zur Hardware und Software</t>
  </si>
  <si>
    <t>General hardware and software details</t>
  </si>
  <si>
    <t>This software replaces the following part nos.:</t>
  </si>
  <si>
    <t>Description of the software:</t>
  </si>
  <si>
    <t>Microcontroller</t>
  </si>
  <si>
    <t>Microcontroller frequency</t>
  </si>
  <si>
    <t>Quartz frequency</t>
  </si>
  <si>
    <t>Operating system</t>
  </si>
  <si>
    <t>Betriebssystem</t>
  </si>
  <si>
    <t>Memory capacity utilization</t>
  </si>
  <si>
    <t>Component</t>
  </si>
  <si>
    <t>Used</t>
  </si>
  <si>
    <t>Available</t>
  </si>
  <si>
    <t>Used [%]</t>
  </si>
  <si>
    <t>Specified</t>
  </si>
  <si>
    <t>Hard disk</t>
  </si>
  <si>
    <t>Auf welche Hardware (Sachnummer) kann die Software geflasht werde (Sachnummer)?</t>
  </si>
  <si>
    <t>Compatibility</t>
  </si>
  <si>
    <t>On which hard ware (part no.) is it possible to flash the software (part no.)?</t>
  </si>
  <si>
    <t>HW Version</t>
  </si>
  <si>
    <t>Function tests</t>
  </si>
  <si>
    <t>Tested according to test specification</t>
  </si>
  <si>
    <t>All test sequences successful?</t>
  </si>
  <si>
    <t>Which test sequence was not successful?</t>
  </si>
  <si>
    <t>Which measure have been defined?</t>
  </si>
  <si>
    <t>When is the next bugfixing release?</t>
  </si>
  <si>
    <t>Hiermit bestätigen wir die Durchführung der unten genannten Test und die Richtigkeit der Ergebnisse:</t>
  </si>
  <si>
    <t>Software integration test</t>
  </si>
  <si>
    <t>Performed</t>
  </si>
  <si>
    <t>Result</t>
  </si>
  <si>
    <t>erfolgreich</t>
  </si>
  <si>
    <t>nicht erfolgreich</t>
  </si>
  <si>
    <t>successful</t>
  </si>
  <si>
    <t>not successful</t>
  </si>
  <si>
    <t>Number of points outstanding</t>
  </si>
  <si>
    <t>Module test</t>
  </si>
  <si>
    <t>System integration test</t>
  </si>
  <si>
    <t>Sheet 3: Confirmation of Software Tests</t>
  </si>
  <si>
    <t>Durchgeführt</t>
  </si>
  <si>
    <t>Herewith we confirm the performance of the following tests and the correctness of their results:</t>
  </si>
  <si>
    <r>
      <t xml:space="preserve">Deckblatt zum PPF-Bericht / </t>
    </r>
    <r>
      <rPr>
        <sz val="18"/>
        <color theme="3" tint="0.39997558519241921"/>
        <rFont val="Arial"/>
        <family val="2"/>
      </rPr>
      <t>Cover sheet to PPA report</t>
    </r>
  </si>
  <si>
    <r>
      <t xml:space="preserve">Designaufzeichnungen / </t>
    </r>
    <r>
      <rPr>
        <sz val="18"/>
        <color theme="3" tint="0.39997558519241921"/>
        <rFont val="Arial"/>
        <family val="2"/>
      </rPr>
      <t>Design Records</t>
    </r>
  </si>
  <si>
    <r>
      <t xml:space="preserve">Prüfergebnisse zur Produktfreigabe (z. B. Geometrie, Maß, Funktion, Werkstoff [Festigkeit, physikalische Eigenschaften), Gewicht, Haptik, Akustik, Geruch, Aussehen, Oberfläche, Zuverlässigkeits-/ESD-Prüfung, elektrische Sicherheit, etc.) /
</t>
    </r>
    <r>
      <rPr>
        <sz val="18"/>
        <color theme="3" tint="0.39997558519241921"/>
        <rFont val="Arial"/>
        <family val="2"/>
      </rPr>
      <t>Test results (e.g. geometry, dimensions, function, materials [strenght physical characteristics], weight, haptics, acoustics, odour, appearance, surface, reliability ESD tests, electrical safety, etc.)</t>
    </r>
  </si>
  <si>
    <r>
      <t xml:space="preserve">Muster (Anzahl bzw. Liefermenge nach Vereinbarung) / </t>
    </r>
    <r>
      <rPr>
        <sz val="18"/>
        <color theme="3" tint="0.39997558519241921"/>
        <rFont val="Arial"/>
        <family val="2"/>
      </rPr>
      <t>Samples (quantity supplied by agreement)</t>
    </r>
  </si>
  <si>
    <r>
      <t xml:space="preserve">Technische Spezifikationen (z. B. Kundenzeichnungen, CAD-Daten, Spezifikationen, genehmigte Konstruktionsänderungen, Kurzschlussfestigkeit, Spannungsabsicherung, Funktionale Sicherheit (FUSI)) / </t>
    </r>
    <r>
      <rPr>
        <sz val="18"/>
        <color theme="3" tint="0.39997558519241921"/>
        <rFont val="Arial"/>
        <family val="2"/>
      </rPr>
      <t>Technical specifications (e.g. customer drawings, CAD data, specifications, approved design modifications, resistance to short circuit, voltage reliability, functional safety management (FSM))</t>
    </r>
  </si>
  <si>
    <r>
      <t>Produkt-FMEA /</t>
    </r>
    <r>
      <rPr>
        <sz val="18"/>
        <color theme="3" tint="0.39997558519241921"/>
        <rFont val="Arial"/>
        <family val="2"/>
      </rPr>
      <t xml:space="preserve"> Product FMEA</t>
    </r>
  </si>
  <si>
    <r>
      <t xml:space="preserve">Konstruktions-, Entwicklungsfreigaben des Lieferanten bei Entwicklungs-verantwortung entsprechend Vereinbarung / </t>
    </r>
    <r>
      <rPr>
        <sz val="18"/>
        <color theme="3" tint="0.39997558519241921"/>
        <rFont val="Arial"/>
        <family val="2"/>
      </rPr>
      <t>Design and development approval by the supplier in case of development responsibility</t>
    </r>
  </si>
  <si>
    <r>
      <t xml:space="preserve">Nachweis der Einhaltung gesetzlicher Forderungen (z. B. Umwelt, Sicherheit, Recycling, länderspezifische Zertifikate) / </t>
    </r>
    <r>
      <rPr>
        <sz val="18"/>
        <color theme="3" tint="0.39997558519241921"/>
        <rFont val="Arial"/>
        <family val="2"/>
      </rPr>
      <t>Confirmation of compliance with legal requirements (e.g. environment, safety, recycling, national certificates)</t>
    </r>
  </si>
  <si>
    <r>
      <t>Materialdatenblatt per IMDS /</t>
    </r>
    <r>
      <rPr>
        <sz val="18"/>
        <color theme="3" tint="0.39997558519241921"/>
        <rFont val="Arial"/>
        <family val="2"/>
      </rPr>
      <t xml:space="preserve"> Material data sheet (per IMDS)</t>
    </r>
  </si>
  <si>
    <r>
      <t xml:space="preserve">Softwareprüfbericht / </t>
    </r>
    <r>
      <rPr>
        <sz val="18"/>
        <color theme="3" tint="0.39997558519241921"/>
        <rFont val="Arial"/>
        <family val="2"/>
      </rPr>
      <t>Software test report</t>
    </r>
  </si>
  <si>
    <r>
      <t xml:space="preserve">Prozess-FMEA / </t>
    </r>
    <r>
      <rPr>
        <sz val="18"/>
        <color theme="3" tint="0.39997558519241921"/>
        <rFont val="Arial"/>
        <family val="2"/>
      </rPr>
      <t>Process FMEA</t>
    </r>
  </si>
  <si>
    <r>
      <t>Prozessablaufdiagramm (Fertigungs- und Prüfschritte) /</t>
    </r>
    <r>
      <rPr>
        <sz val="18"/>
        <color theme="3" tint="0.39997558519241921"/>
        <rFont val="Arial"/>
        <family val="2"/>
      </rPr>
      <t xml:space="preserve"> Process flow chart (production and test/inspection operations)</t>
    </r>
  </si>
  <si>
    <t>Anlage 7 - Gegenüberstellung PPF und PPAP</t>
  </si>
  <si>
    <t>Attachment 7 - Comparison between PPA  and PPAP</t>
  </si>
  <si>
    <t>Versus
[PPAP(Nr)]</t>
  </si>
  <si>
    <t>versus
[PPAP No]</t>
  </si>
  <si>
    <t>Versus
[PPAP Nr]</t>
  </si>
  <si>
    <t>Prüfergebnisse zur Produktfreigabe: (z. B. Geometrie, Maß, Funktion, Werkstoff ( Ferstigkeit, physikalische Eigenschaften, …), Gewicht, Haptik, Akustik, Geruch, Aussehen, Oberfläche, Zuverlässigkeit-/ESD-Prüfung, elekrische Sicherheit, etc.)</t>
  </si>
  <si>
    <t>Test results (e.g. geometry, dimensions, function, materials [strength physical characteristics], weight, haptics, acoustics, odour, appearance, surface, reliability ESD tests, electrical safety, etc.)</t>
  </si>
  <si>
    <t>Samples (quantity supplied by agreement)</t>
  </si>
  <si>
    <t>Technical specifications (e.g. customer drawings, CAD data, specifications, approved design modifications, resistance to short-circuit, voltage reliability, functional safety management (FSM))</t>
  </si>
  <si>
    <t>Product FMEA</t>
  </si>
  <si>
    <t>Design and development approval by the customer in case of development responsibility</t>
  </si>
  <si>
    <t>Confirmation of compliance with legal requirements (e.g. environment, safety, recycling, national certificates)</t>
  </si>
  <si>
    <t>Material data sheet (per IMDS)</t>
  </si>
  <si>
    <t>Software test report</t>
  </si>
  <si>
    <t>Process FMEA</t>
  </si>
  <si>
    <t>Process flow chart (production and test/inspection operations)</t>
  </si>
  <si>
    <t>Control plan</t>
  </si>
  <si>
    <t>Confirmation of process capability</t>
  </si>
  <si>
    <t>Evidence of compliance with special characteristics</t>
  </si>
  <si>
    <t>List of test/inspection equipment (product-specific)</t>
  </si>
  <si>
    <t>Capability study testing equipment, if appropriate (result)</t>
  </si>
  <si>
    <t>Tooling list (with quantity/number of cavities and information on tooling concept)</t>
  </si>
  <si>
    <t>Confirmation of achievement of agreed capacity (process validation)</t>
  </si>
  <si>
    <t>Written self-assessment of criteria as per evaluation matrix production maturity for product and process</t>
  </si>
  <si>
    <t>Part history</t>
  </si>
  <si>
    <t>Confirmation of suitability of the product carrying units, including storage</t>
  </si>
  <si>
    <t>PPA status of the supply chain (purchased parts, directed parts and in-house parts)</t>
  </si>
  <si>
    <t>Approval of coating systems in accordance with customer requirements</t>
  </si>
  <si>
    <t>PPAP (12) &amp; (15) not incl. in PPA</t>
  </si>
  <si>
    <t>PPAP (contents) 4th edition</t>
  </si>
  <si>
    <t>Design Records</t>
  </si>
  <si>
    <t>Engineering Change Documents</t>
  </si>
  <si>
    <t>Customer Engineering Approval</t>
  </si>
  <si>
    <t>Process Flow Diagrams</t>
  </si>
  <si>
    <t>Prozessflussdiagramme (auch: Prozess-Ablauf-Plan  PAP)</t>
  </si>
  <si>
    <t>Process Failure Mode and Effects Analysis (P-FMEA)</t>
  </si>
  <si>
    <t>Design Failure Mode and Effects Analysis</t>
  </si>
  <si>
    <t>Control Plan</t>
  </si>
  <si>
    <t>Measurement System Analysis Studies</t>
  </si>
  <si>
    <t>Dimensional Results</t>
  </si>
  <si>
    <t>Records of Material / Performance Test Results</t>
  </si>
  <si>
    <t>Initial Process Studies</t>
  </si>
  <si>
    <t>Qualified Laboratory Documentation</t>
  </si>
  <si>
    <t>Appearance Approval Report</t>
  </si>
  <si>
    <t>Sample Production Parts</t>
  </si>
  <si>
    <t>Master Sample</t>
  </si>
  <si>
    <t>Checking Aids</t>
  </si>
  <si>
    <t>Customer-specific Requirements</t>
  </si>
  <si>
    <t>Part Submission Warrant (PSW)</t>
  </si>
  <si>
    <t>PPAP Stufen (Level)</t>
  </si>
  <si>
    <t>PPAP Level</t>
  </si>
  <si>
    <t>Stufe 1:</t>
  </si>
  <si>
    <t>Stufe 2:</t>
  </si>
  <si>
    <t>Stufe 3:</t>
  </si>
  <si>
    <t>Stufe 4:</t>
  </si>
  <si>
    <t>Stufe 5:</t>
  </si>
  <si>
    <t>Level 1:</t>
  </si>
  <si>
    <t>Level 2:</t>
  </si>
  <si>
    <t>Level 3:</t>
  </si>
  <si>
    <t>Level 4:</t>
  </si>
  <si>
    <t>Level 5:</t>
  </si>
  <si>
    <t>Only the part submission warrant (PSW) is submitted to the customer</t>
  </si>
  <si>
    <t>The part submission warrant (PSW) with samples and restricted supporting data are submitted to the customer</t>
  </si>
  <si>
    <t>The part submission warrant (PSW) with samples and full supporting data are submitted to the customer</t>
  </si>
  <si>
    <t>The part submission warrant (PSW) and other requirements as specified by the customer</t>
  </si>
  <si>
    <t>The part submission warrant (PSW) with sample parts and complete supporting data are available for assessment at the supplier´s production location</t>
  </si>
  <si>
    <r>
      <t xml:space="preserve">Dokumente über technische Änderungen / </t>
    </r>
    <r>
      <rPr>
        <sz val="18"/>
        <color theme="3" tint="0.39997558519241921"/>
        <rFont val="Arial"/>
        <family val="2"/>
      </rPr>
      <t>Engineering Change Documents</t>
    </r>
  </si>
  <si>
    <r>
      <t xml:space="preserve">Technische Freigabe / </t>
    </r>
    <r>
      <rPr>
        <sz val="18"/>
        <color theme="3" tint="0.39997558519241921"/>
        <rFont val="Arial"/>
        <family val="2"/>
      </rPr>
      <t>Customer Engineering Approval</t>
    </r>
  </si>
  <si>
    <r>
      <t xml:space="preserve">Konstruktions - Fehlermöglichkeits- und Einfluss Analyse (D-FMEA) / </t>
    </r>
    <r>
      <rPr>
        <sz val="18"/>
        <color theme="3" tint="0.39997558519241921"/>
        <rFont val="Arial"/>
        <family val="2"/>
      </rPr>
      <t>Design Failure Mode and Effects Analysis</t>
    </r>
  </si>
  <si>
    <r>
      <t xml:space="preserve">Prozessflussdiagremme (auch: Prozess-Ablauf-Plan  PAP) / </t>
    </r>
    <r>
      <rPr>
        <sz val="18"/>
        <color theme="3" tint="0.39997558519241921"/>
        <rFont val="Arial"/>
        <family val="2"/>
      </rPr>
      <t>Process Flow Diagrams</t>
    </r>
  </si>
  <si>
    <r>
      <t>Prozess - Fehlermöglichkeits- und Einfluss Analyse (P-FMEA) /</t>
    </r>
    <r>
      <rPr>
        <sz val="18"/>
        <color theme="3" tint="0.39997558519241921"/>
        <rFont val="Arial"/>
        <family val="2"/>
      </rPr>
      <t xml:space="preserve"> Process Failure Mode and Effects Analysis (P-FMEA)</t>
    </r>
  </si>
  <si>
    <r>
      <t>Steuerungs- (Prüf-) plan /</t>
    </r>
    <r>
      <rPr>
        <sz val="18"/>
        <color theme="3" tint="0.39997558519241921"/>
        <rFont val="Arial"/>
        <family val="2"/>
      </rPr>
      <t xml:space="preserve"> Control Plan</t>
    </r>
  </si>
  <si>
    <r>
      <t xml:space="preserve">Analyse von Messsystemen / </t>
    </r>
    <r>
      <rPr>
        <sz val="18"/>
        <color theme="3" tint="0.39997558519241921"/>
        <rFont val="Arial"/>
        <family val="2"/>
      </rPr>
      <t>Measurement System Analysis Studies</t>
    </r>
  </si>
  <si>
    <r>
      <t xml:space="preserve">Messergebnisse / </t>
    </r>
    <r>
      <rPr>
        <sz val="18"/>
        <color theme="3" tint="0.39997558519241921"/>
        <rFont val="Arial"/>
        <family val="2"/>
      </rPr>
      <t>Dimensional Results</t>
    </r>
  </si>
  <si>
    <r>
      <t xml:space="preserve">Material- und Leistungstests / </t>
    </r>
    <r>
      <rPr>
        <sz val="18"/>
        <color theme="3" tint="0.39997558519241921"/>
        <rFont val="Arial"/>
        <family val="2"/>
      </rPr>
      <t>Records of Material / Performance Test Results</t>
    </r>
  </si>
  <si>
    <r>
      <t xml:space="preserve">Untersuchungen zur Kurzzeitfähigkeit der Prozesse / </t>
    </r>
    <r>
      <rPr>
        <sz val="18"/>
        <color theme="3" tint="0.39997558519241921"/>
        <rFont val="Arial"/>
        <family val="2"/>
      </rPr>
      <t>Initial Process Studies</t>
    </r>
  </si>
  <si>
    <r>
      <t xml:space="preserve">Dokumentation eines qualifizierten Laboratoriums / </t>
    </r>
    <r>
      <rPr>
        <sz val="18"/>
        <color theme="3" tint="0.39997558519241921"/>
        <rFont val="Arial"/>
        <family val="2"/>
      </rPr>
      <t>Qualified Laboratory Documentation</t>
    </r>
  </si>
  <si>
    <r>
      <t xml:space="preserve">Bericht zur Freigabe des Aussehens / </t>
    </r>
    <r>
      <rPr>
        <sz val="18"/>
        <color theme="3" tint="0.39997558519241921"/>
        <rFont val="Arial"/>
        <family val="2"/>
      </rPr>
      <t>Appearance Approval Report</t>
    </r>
  </si>
  <si>
    <r>
      <t xml:space="preserve">Referenzmuster / </t>
    </r>
    <r>
      <rPr>
        <sz val="18"/>
        <color theme="3" tint="0.39997558519241921"/>
        <rFont val="Arial"/>
        <family val="2"/>
      </rPr>
      <t>Master Sample</t>
    </r>
  </si>
  <si>
    <r>
      <t xml:space="preserve">Muster - Serienteile / Sample Production Parts / </t>
    </r>
    <r>
      <rPr>
        <sz val="18"/>
        <color theme="3" tint="0.39997558519241921"/>
        <rFont val="Arial"/>
        <family val="2"/>
      </rPr>
      <t>Sample Production Parts</t>
    </r>
  </si>
  <si>
    <r>
      <t>Spezifische Prüfmittel /</t>
    </r>
    <r>
      <rPr>
        <sz val="18"/>
        <color theme="3" tint="0.39997558519241921"/>
        <rFont val="Arial"/>
        <family val="2"/>
      </rPr>
      <t xml:space="preserve"> Checking Aids</t>
    </r>
  </si>
  <si>
    <r>
      <t xml:space="preserve">Kundenspezifische Anforderungen / </t>
    </r>
    <r>
      <rPr>
        <sz val="18"/>
        <color theme="3" tint="0.39997558519241921"/>
        <rFont val="Arial"/>
        <family val="2"/>
      </rPr>
      <t>Customer-specific Requirements</t>
    </r>
  </si>
  <si>
    <r>
      <t xml:space="preserve">Teilevorlagebestätigung / </t>
    </r>
    <r>
      <rPr>
        <sz val="18"/>
        <color theme="3" tint="0.39997558519241921"/>
        <rFont val="Arial"/>
        <family val="2"/>
      </rPr>
      <t>Part Submission Warrant (PSW)</t>
    </r>
  </si>
  <si>
    <r>
      <t xml:space="preserve">Nur die Teilevorlagebestätigumg (PSW) wird dem Kenden vorgelegt / </t>
    </r>
    <r>
      <rPr>
        <sz val="18"/>
        <color theme="3" tint="0.39997558519241921"/>
        <rFont val="Arial"/>
        <family val="2"/>
      </rPr>
      <t>Only the part submission warrant (PSW) is submitted to the customer</t>
    </r>
  </si>
  <si>
    <r>
      <t xml:space="preserve">Teilevorlagebestätigumg (PSW) mit Musterteilen und eingeschränkte unterstützende Daten werden dem Kunden vorgelegt / </t>
    </r>
    <r>
      <rPr>
        <sz val="18"/>
        <color theme="3" tint="0.39997558519241921"/>
        <rFont val="Arial"/>
        <family val="2"/>
      </rPr>
      <t>The part submission warrant (PSW) with samples and restricted supporting data are submitted to the customer</t>
    </r>
  </si>
  <si>
    <r>
      <t xml:space="preserve">Teilevorlagebestätigumg (PSW) mit Musterteilen und umfassende unterstützende Daten werden dem Kunden vorgelegt / </t>
    </r>
    <r>
      <rPr>
        <sz val="18"/>
        <color theme="3" tint="0.39997558519241921"/>
        <rFont val="Arial"/>
        <family val="2"/>
      </rPr>
      <t>The part submission warrant (PSW) with samples and full supporting data are submitted to the customer</t>
    </r>
  </si>
  <si>
    <r>
      <t xml:space="preserve">Teilevorlagebestätigumg (PSW) und andere Forderungen, wie sie vom Kunden festgelegt wurden / </t>
    </r>
    <r>
      <rPr>
        <sz val="18"/>
        <color theme="3" tint="0.39997558519241921"/>
        <rFont val="Arial"/>
        <family val="2"/>
      </rPr>
      <t>The part submission warrant (PSW) and other requirements as specified by the customer</t>
    </r>
  </si>
  <si>
    <r>
      <t xml:space="preserve">Teilevorlagebestätigumg (PSW) mit Musterteilen und vollständige unterstützende Daten stehen am Produktionsstandort des Lieferanten für Bewertung zur Verfügung / </t>
    </r>
    <r>
      <rPr>
        <sz val="18"/>
        <color theme="3" tint="0.39997558519241921"/>
        <rFont val="Arial"/>
        <family val="2"/>
      </rPr>
      <t>The part submission warrant (PSW) with sample parts and complete supporting data are available for assessment at the supplier´s production location</t>
    </r>
  </si>
  <si>
    <r>
      <t xml:space="preserve">PPAP (Inhalte / </t>
    </r>
    <r>
      <rPr>
        <b/>
        <sz val="20"/>
        <color theme="3" tint="0.39997558519241921"/>
        <rFont val="Arial"/>
        <family val="2"/>
      </rPr>
      <t>contents</t>
    </r>
    <r>
      <rPr>
        <b/>
        <sz val="20"/>
        <color theme="1"/>
        <rFont val="Arial"/>
        <family val="2"/>
        <charset val="238"/>
      </rPr>
      <t>), 4</t>
    </r>
    <r>
      <rPr>
        <b/>
        <vertAlign val="superscript"/>
        <sz val="20"/>
        <color theme="1"/>
        <rFont val="Arial"/>
        <family val="2"/>
        <charset val="238"/>
      </rPr>
      <t>th</t>
    </r>
    <r>
      <rPr>
        <b/>
        <sz val="20"/>
        <color theme="1"/>
        <rFont val="Arial"/>
        <family val="2"/>
        <charset val="238"/>
      </rPr>
      <t xml:space="preserve"> Edition</t>
    </r>
  </si>
  <si>
    <r>
      <t xml:space="preserve">PPF (Inhalte / </t>
    </r>
    <r>
      <rPr>
        <b/>
        <sz val="20"/>
        <color theme="3" tint="0.39997558519241921"/>
        <rFont val="Arial"/>
        <family val="2"/>
      </rPr>
      <t>contents</t>
    </r>
    <r>
      <rPr>
        <b/>
        <sz val="20"/>
        <color theme="1"/>
        <rFont val="Arial"/>
        <family val="2"/>
        <charset val="238"/>
      </rPr>
      <t>)</t>
    </r>
  </si>
  <si>
    <r>
      <t xml:space="preserve">Produktionslenkungsplan (Control Plan) / </t>
    </r>
    <r>
      <rPr>
        <sz val="18"/>
        <color theme="3" tint="0.39997558519241921"/>
        <rFont val="Arial"/>
        <family val="2"/>
      </rPr>
      <t>Control plan</t>
    </r>
  </si>
  <si>
    <r>
      <t xml:space="preserve">Prozessfähigkeitsnachweise / </t>
    </r>
    <r>
      <rPr>
        <sz val="18"/>
        <color theme="3" tint="0.39997558519241921"/>
        <rFont val="Arial"/>
        <family val="2"/>
      </rPr>
      <t>Confirmation of process capability</t>
    </r>
  </si>
  <si>
    <r>
      <t>Nachweis Absicherung besonderer Merkmale /</t>
    </r>
    <r>
      <rPr>
        <sz val="18"/>
        <color theme="3" tint="0.39997558519241921"/>
        <rFont val="Arial"/>
        <family val="2"/>
      </rPr>
      <t xml:space="preserve"> Evidence of compliance with special characteristics</t>
    </r>
  </si>
  <si>
    <r>
      <t xml:space="preserve">Prüfmittelliste (produktspezifisch) / </t>
    </r>
    <r>
      <rPr>
        <sz val="18"/>
        <color theme="3" tint="0.39997558519241921"/>
        <rFont val="Arial"/>
        <family val="2"/>
      </rPr>
      <t>List of test/inspection equipment (product-specific)</t>
    </r>
  </si>
  <si>
    <r>
      <t xml:space="preserve">Prüfmittelfähigkeitsuntersuchung, wo angemessen (Ergebnis) / </t>
    </r>
    <r>
      <rPr>
        <sz val="18"/>
        <color theme="3" tint="0.39997558519241921"/>
        <rFont val="Arial"/>
        <family val="2"/>
      </rPr>
      <t>Capability study testing equipment, if appropriate (result)</t>
    </r>
  </si>
  <si>
    <r>
      <t xml:space="preserve">Werkzeugübersicht (mit Stückzahl / Anzahl Nester und Informationen zum Werkzeugkonzept) / </t>
    </r>
    <r>
      <rPr>
        <sz val="18"/>
        <color theme="3" tint="0.39997558519241921"/>
        <rFont val="Arial"/>
        <family val="2"/>
      </rPr>
      <t>Tooling list (with quantity/number of cavities and information on tooling concept)</t>
    </r>
  </si>
  <si>
    <r>
      <t xml:space="preserve">Nachweis für Erreichung der vereinbarten Kapazität (Prozessvalidierung) / </t>
    </r>
    <r>
      <rPr>
        <sz val="18"/>
        <color theme="3" tint="0.39997558519241921"/>
        <rFont val="Arial"/>
        <family val="2"/>
      </rPr>
      <t>Confirmation of achievement of agreed capacity (process validation)</t>
    </r>
  </si>
  <si>
    <r>
      <t xml:space="preserve">Schriftliche Selbstbewertung der Kriterien gemäß Matrix Beutteilung Serienreife für Produkt und Prozess / </t>
    </r>
    <r>
      <rPr>
        <sz val="18"/>
        <color theme="3" tint="0.39997558519241921"/>
        <rFont val="Arial"/>
        <family val="2"/>
      </rPr>
      <t>Written self-assessment of criteria as per evaluation matrix production maturity for product and process</t>
    </r>
  </si>
  <si>
    <r>
      <t xml:space="preserve">Teilelebenslauf / </t>
    </r>
    <r>
      <rPr>
        <sz val="18"/>
        <color theme="3" tint="0.39997558519241921"/>
        <rFont val="Arial"/>
        <family val="2"/>
      </rPr>
      <t>Part history</t>
    </r>
  </si>
  <si>
    <r>
      <t xml:space="preserve">Eignungsnachweis der eingesetzten Ladungsträger inkl. Lagerung / </t>
    </r>
    <r>
      <rPr>
        <sz val="18"/>
        <color theme="3" tint="0.39997558519241921"/>
        <rFont val="Arial"/>
        <family val="2"/>
      </rPr>
      <t>Confirmation of suitability of the product carrying units, including storage</t>
    </r>
  </si>
  <si>
    <r>
      <t xml:space="preserve">PPF-Status Lieferkette (Zulieferteile, Setzeile und Hausteile) / </t>
    </r>
    <r>
      <rPr>
        <sz val="18"/>
        <color theme="3" tint="0.39997558519241921"/>
        <rFont val="Arial"/>
        <family val="2"/>
      </rPr>
      <t>PPA status of the supply chain (purchased parts, directed parts and in-house parts)</t>
    </r>
  </si>
  <si>
    <r>
      <t xml:space="preserve">Freigabe von Beschichtungssystemen gemäß Kundenanforderungen / </t>
    </r>
    <r>
      <rPr>
        <sz val="18"/>
        <color theme="3" tint="0.39997558519241921"/>
        <rFont val="Arial"/>
        <family val="2"/>
      </rPr>
      <t>Approval of coating systems in accordance with customer requirements</t>
    </r>
  </si>
  <si>
    <r>
      <t xml:space="preserve">PPAP (12) und (15) sind im PPF VDA nicht explizit enthalten / </t>
    </r>
    <r>
      <rPr>
        <sz val="18"/>
        <color theme="3" tint="0.39997558519241921"/>
        <rFont val="Arial"/>
        <family val="2"/>
      </rPr>
      <t>PPAP (12) &amp; (15) not incl. in PPA</t>
    </r>
  </si>
  <si>
    <r>
      <t xml:space="preserve">Keine Entsprechung / </t>
    </r>
    <r>
      <rPr>
        <sz val="18"/>
        <color theme="3" tint="0.39997558519241921"/>
        <rFont val="Arial"/>
        <family val="2"/>
      </rPr>
      <t>No equivalent</t>
    </r>
  </si>
  <si>
    <t>No equivalent</t>
  </si>
  <si>
    <t>Versus
[PPAP No]</t>
  </si>
  <si>
    <r>
      <t>PPAP Stufe /</t>
    </r>
    <r>
      <rPr>
        <b/>
        <sz val="18"/>
        <color theme="3" tint="0.39997558519241921"/>
        <rFont val="Arial"/>
        <family val="2"/>
      </rPr>
      <t xml:space="preserve"> Level</t>
    </r>
  </si>
  <si>
    <r>
      <t xml:space="preserve">Anlage 7 - Gegenüberstellung / </t>
    </r>
    <r>
      <rPr>
        <sz val="24"/>
        <color theme="3" tint="0.39997558519241921"/>
        <rFont val="Arial"/>
        <family val="2"/>
      </rPr>
      <t>comparison</t>
    </r>
    <r>
      <rPr>
        <sz val="24"/>
        <color theme="1"/>
        <rFont val="Arial"/>
        <family val="2"/>
        <charset val="238"/>
      </rPr>
      <t xml:space="preserve"> PPF/</t>
    </r>
    <r>
      <rPr>
        <sz val="24"/>
        <color theme="3" tint="0.39997558519241921"/>
        <rFont val="Arial"/>
        <family val="2"/>
      </rPr>
      <t>PPA</t>
    </r>
    <r>
      <rPr>
        <sz val="24"/>
        <color theme="1"/>
        <rFont val="Arial"/>
        <family val="2"/>
        <charset val="238"/>
      </rPr>
      <t xml:space="preserve">            PPAP</t>
    </r>
  </si>
  <si>
    <t>Bitte fügen Sie eine detaillierte Beschreibung der mit MANN+HUMMEL vereinbarten Verpackung inkl. Bilder bei (Packeinheit, innerer Schutz, Palette, Mengen je Packeinheit/Palette, Kennzeichnungs-Label).</t>
  </si>
  <si>
    <t>Please include a detailled description of the packaging agreed with MANN+HUMMEL incl. pictures (packing unit, inner protection, palette, quantities per packing unit/palette, identification label).</t>
  </si>
  <si>
    <t>Shift model for serial production:</t>
  </si>
  <si>
    <t>Schichtmodel für Serienproduktion:</t>
  </si>
  <si>
    <t>shift model serial</t>
  </si>
  <si>
    <t>Contractual planned Downtime:</t>
  </si>
  <si>
    <t>min / shift</t>
  </si>
  <si>
    <t>(net)</t>
  </si>
  <si>
    <t>(gross)</t>
  </si>
  <si>
    <t>Vertraglich vereinbarte Unterbrechungen (Mittag, Pausen, etc.):</t>
  </si>
  <si>
    <t>n.i.O. - bei visueller Prüfung</t>
  </si>
  <si>
    <t>n.i.O. - maßlich / Werkstoff nicht nach Zeichnung</t>
  </si>
  <si>
    <t>nOK - visual check not according to drawing / border samples</t>
  </si>
  <si>
    <t>nOK - dimensional / material not according to drawing</t>
  </si>
  <si>
    <t>nOK - function not according to drawing / process verification plan</t>
  </si>
  <si>
    <t>n.i.O. - Bauteilfunktion nicht nach Zeichnungsvorgabe/ Prüfplan Lieferant</t>
  </si>
  <si>
    <t>Tage</t>
  </si>
  <si>
    <t>amount of cavities considered</t>
  </si>
  <si>
    <t>(amount of cavities considered)</t>
  </si>
  <si>
    <t>(Anzahl Kavitäten berücksichtigt)</t>
  </si>
  <si>
    <t>pieces</t>
  </si>
  <si>
    <t>Contractual planned Downtime
(lunch, breaks, etc.):</t>
  </si>
  <si>
    <t>?</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</si>
</sst>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64" formatCode="dd/mm/yy;@"/>
    <numFmt numFmtId="165" formatCode="0.00;[Red]0.00"/>
    <numFmt numFmtId="166" formatCode="00"/>
    <numFmt numFmtId="167" formatCode="#,##0.00_ ;[Red]\-#,##0.00\ "/>
    <numFmt numFmtId="168" formatCode="0.0;[Red]0.0"/>
    <numFmt numFmtId="169" formatCode="0.0"/>
    <numFmt numFmtId="170" formatCode="_-* #,##0\ _D_M_-;\-* #,##0\ _D_M_-;_-* &quot;-&quot;??\ _D_M_-;_-@_-"/>
    <numFmt numFmtId="171" formatCode="#,##0_ ;\-#,##0\ "/>
  </numFmts>
  <fonts count="74">
    <font>
      <sz val="10"/>
      <color theme="1"/>
      <name val="Arial"/>
      <family val="2"/>
      <charset val="238"/>
    </font>
    <font>
      <sz val="10"/>
      <color theme="1"/>
      <name val="Arial"/>
      <family val="2"/>
    </font>
    <font>
      <sz val="10"/>
      <color theme="1"/>
      <name val="Arial"/>
      <family val="2"/>
    </font>
    <font>
      <sz val="10"/>
      <color theme="1"/>
      <name val="Arial"/>
      <family val="2"/>
    </font>
    <font>
      <sz val="10"/>
      <color theme="1"/>
      <name val="Arial"/>
      <family val="2"/>
    </font>
    <font>
      <sz val="12"/>
      <color theme="1"/>
      <name val="Arial"/>
      <family val="2"/>
      <charset val="238"/>
    </font>
    <font>
      <sz val="14"/>
      <color theme="1"/>
      <name val="Arial"/>
      <family val="2"/>
      <charset val="238"/>
    </font>
    <font>
      <b/>
      <sz val="18"/>
      <color theme="1"/>
      <name val="Arial"/>
      <family val="2"/>
      <charset val="238"/>
    </font>
    <font>
      <b/>
      <sz val="12"/>
      <color theme="3"/>
      <name val="Arial"/>
      <family val="2"/>
      <charset val="238"/>
    </font>
    <font>
      <sz val="18"/>
      <color theme="1"/>
      <name val="Arial"/>
      <family val="2"/>
      <charset val="238"/>
    </font>
    <font>
      <sz val="24"/>
      <color theme="1"/>
      <name val="Arial"/>
      <family val="2"/>
      <charset val="238"/>
    </font>
    <font>
      <b/>
      <sz val="20"/>
      <color theme="1"/>
      <name val="Arial"/>
      <family val="2"/>
      <charset val="238"/>
    </font>
    <font>
      <b/>
      <vertAlign val="superscript"/>
      <sz val="20"/>
      <color theme="1"/>
      <name val="Arial"/>
      <family val="2"/>
      <charset val="238"/>
    </font>
    <font>
      <sz val="11"/>
      <name val="Arial"/>
      <family val="2"/>
      <charset val="238"/>
    </font>
    <font>
      <b/>
      <sz val="36"/>
      <name val="Arial"/>
      <family val="2"/>
      <charset val="238"/>
    </font>
    <font>
      <sz val="10"/>
      <name val="Arial"/>
      <family val="2"/>
      <charset val="238"/>
    </font>
    <font>
      <b/>
      <sz val="10"/>
      <name val="Arial"/>
      <family val="2"/>
      <charset val="238"/>
    </font>
    <font>
      <b/>
      <sz val="20"/>
      <name val="Arial"/>
      <family val="2"/>
      <charset val="238"/>
    </font>
    <font>
      <b/>
      <sz val="14"/>
      <name val="Arial"/>
      <family val="2"/>
      <charset val="238"/>
    </font>
    <font>
      <b/>
      <sz val="11"/>
      <name val="Arial"/>
      <family val="2"/>
      <charset val="238"/>
    </font>
    <font>
      <b/>
      <strike/>
      <sz val="10"/>
      <name val="Arial"/>
      <family val="2"/>
      <charset val="238"/>
    </font>
    <font>
      <b/>
      <sz val="12"/>
      <name val="Arial"/>
      <family val="2"/>
      <charset val="238"/>
    </font>
    <font>
      <b/>
      <sz val="8"/>
      <name val="Arial"/>
      <family val="2"/>
      <charset val="238"/>
    </font>
    <font>
      <sz val="10"/>
      <name val="Arial"/>
      <family val="2"/>
    </font>
    <font>
      <sz val="14"/>
      <name val="Arial"/>
      <family val="2"/>
      <charset val="238"/>
    </font>
    <font>
      <sz val="12"/>
      <name val="Arial"/>
      <family val="2"/>
    </font>
    <font>
      <b/>
      <sz val="28"/>
      <name val="Arial"/>
      <family val="2"/>
      <charset val="238"/>
    </font>
    <font>
      <sz val="12"/>
      <name val="Arial"/>
      <family val="2"/>
      <charset val="238"/>
    </font>
    <font>
      <b/>
      <sz val="13"/>
      <name val="Arial"/>
      <family val="2"/>
      <charset val="238"/>
    </font>
    <font>
      <sz val="13"/>
      <name val="Arial"/>
      <family val="2"/>
      <charset val="238"/>
    </font>
    <font>
      <sz val="13"/>
      <name val="Arial"/>
      <family val="2"/>
    </font>
    <font>
      <sz val="11"/>
      <name val="Arial"/>
      <family val="2"/>
    </font>
    <font>
      <b/>
      <i/>
      <sz val="11"/>
      <name val="Arial"/>
      <family val="2"/>
    </font>
    <font>
      <b/>
      <sz val="12"/>
      <name val="Arial"/>
      <family val="2"/>
    </font>
    <font>
      <b/>
      <sz val="10"/>
      <name val="Arial"/>
      <family val="2"/>
    </font>
    <font>
      <b/>
      <sz val="13"/>
      <name val="Arial"/>
      <family val="2"/>
    </font>
    <font>
      <b/>
      <u/>
      <sz val="18"/>
      <name val="Arial"/>
      <family val="2"/>
    </font>
    <font>
      <sz val="16"/>
      <name val="Arial"/>
      <family val="2"/>
    </font>
    <font>
      <b/>
      <sz val="11"/>
      <name val="Arial"/>
      <family val="2"/>
    </font>
    <font>
      <sz val="9"/>
      <name val="Arial"/>
      <family val="2"/>
      <charset val="238"/>
    </font>
    <font>
      <sz val="8"/>
      <name val="Arial"/>
      <family val="2"/>
      <charset val="238"/>
    </font>
    <font>
      <u/>
      <sz val="10"/>
      <color theme="10"/>
      <name val="Arial"/>
      <family val="2"/>
      <charset val="238"/>
    </font>
    <font>
      <u/>
      <sz val="10"/>
      <color theme="11"/>
      <name val="Arial"/>
      <family val="2"/>
      <charset val="238"/>
    </font>
    <font>
      <sz val="12"/>
      <color rgb="FFFF0000"/>
      <name val="Arial"/>
      <family val="2"/>
    </font>
    <font>
      <b/>
      <sz val="10"/>
      <color theme="1"/>
      <name val="Arial"/>
      <family val="2"/>
    </font>
    <font>
      <b/>
      <sz val="11"/>
      <color theme="1" tint="0.249977111117893"/>
      <name val="Arial"/>
      <family val="2"/>
    </font>
    <font>
      <b/>
      <sz val="11"/>
      <color theme="1"/>
      <name val="Arial"/>
      <family val="2"/>
    </font>
    <font>
      <sz val="9"/>
      <color theme="1"/>
      <name val="Arial"/>
      <family val="2"/>
      <charset val="238"/>
    </font>
    <font>
      <sz val="9"/>
      <color theme="1"/>
      <name val="Arial"/>
      <family val="2"/>
    </font>
    <font>
      <sz val="10"/>
      <color theme="1"/>
      <name val="Arial"/>
      <family val="2"/>
      <charset val="238"/>
    </font>
    <font>
      <b/>
      <sz val="14"/>
      <name val="Arial"/>
      <family val="2"/>
    </font>
    <font>
      <sz val="8"/>
      <name val="Arial"/>
      <family val="2"/>
    </font>
    <font>
      <b/>
      <sz val="8"/>
      <name val="Arial"/>
      <family val="2"/>
    </font>
    <font>
      <sz val="9"/>
      <name val="Arial"/>
      <family val="2"/>
    </font>
    <font>
      <b/>
      <sz val="9"/>
      <name val="Arial"/>
      <family val="2"/>
    </font>
    <font>
      <sz val="8"/>
      <name val="News Gothic"/>
    </font>
    <font>
      <sz val="9"/>
      <name val="News Gothic"/>
    </font>
    <font>
      <sz val="8"/>
      <color indexed="9"/>
      <name val="Arial"/>
      <family val="2"/>
    </font>
    <font>
      <sz val="10"/>
      <color indexed="10"/>
      <name val="Arial"/>
      <family val="2"/>
    </font>
    <font>
      <b/>
      <sz val="9"/>
      <color theme="1"/>
      <name val="Arial"/>
      <family val="2"/>
    </font>
    <font>
      <sz val="11"/>
      <color theme="1"/>
      <name val="Arial"/>
      <family val="2"/>
      <charset val="238"/>
    </font>
    <font>
      <b/>
      <sz val="14"/>
      <color theme="1"/>
      <name val="Arial"/>
      <family val="2"/>
    </font>
    <font>
      <b/>
      <sz val="11"/>
      <color theme="1"/>
      <name val="Arial"/>
      <family val="2"/>
      <charset val="238"/>
    </font>
    <font>
      <sz val="10"/>
      <name val="News Gothic"/>
    </font>
    <font>
      <sz val="14"/>
      <name val="Arial"/>
      <family val="2"/>
    </font>
    <font>
      <sz val="10"/>
      <color rgb="FFFF0000"/>
      <name val="Arial"/>
      <family val="2"/>
    </font>
    <font>
      <b/>
      <sz val="28"/>
      <color theme="1"/>
      <name val="Arial"/>
      <family val="2"/>
    </font>
    <font>
      <b/>
      <sz val="12"/>
      <color theme="1"/>
      <name val="Arial"/>
      <family val="2"/>
      <charset val="238"/>
    </font>
    <font>
      <b/>
      <sz val="16"/>
      <color theme="1"/>
      <name val="Arial"/>
      <family val="2"/>
    </font>
    <font>
      <b/>
      <sz val="12"/>
      <color theme="1"/>
      <name val="Arial"/>
      <family val="2"/>
    </font>
    <font>
      <sz val="18"/>
      <color theme="3" tint="0.39997558519241921"/>
      <name val="Arial"/>
      <family val="2"/>
    </font>
    <font>
      <b/>
      <sz val="20"/>
      <color theme="3" tint="0.39997558519241921"/>
      <name val="Arial"/>
      <family val="2"/>
    </font>
    <font>
      <sz val="24"/>
      <color theme="3" tint="0.39997558519241921"/>
      <name val="Arial"/>
      <family val="2"/>
    </font>
    <font>
      <b/>
      <sz val="18"/>
      <color theme="3" tint="0.39997558519241921"/>
      <name val="Arial"/>
      <family val="2"/>
    </font>
  </fonts>
  <fills count="10">
    <fill>
      <patternFill patternType="none"/>
    </fill>
    <fill>
      <patternFill patternType="gray125"/>
    </fill>
    <fill>
      <patternFill patternType="solid">
        <fgColor rgb="FFCCFFCC"/>
        <bgColor indexed="64"/>
      </patternFill>
    </fill>
    <fill>
      <patternFill patternType="solid">
        <fgColor theme="0"/>
        <bgColor indexed="64"/>
      </patternFill>
    </fill>
    <fill>
      <patternFill patternType="solid">
        <fgColor rgb="FF00CC00"/>
        <bgColor indexed="64"/>
      </patternFill>
    </fill>
    <fill>
      <patternFill patternType="solid">
        <fgColor rgb="FFFFFF00"/>
        <bgColor indexed="64"/>
      </patternFill>
    </fill>
    <fill>
      <patternFill patternType="solid">
        <fgColor rgb="FFFF0000"/>
        <bgColor indexed="64"/>
      </patternFill>
    </fill>
    <fill>
      <patternFill patternType="solid">
        <fgColor indexed="42"/>
        <bgColor indexed="64"/>
      </patternFill>
    </fill>
    <fill>
      <patternFill patternType="solid">
        <fgColor theme="0" tint="-0.14999847407452621"/>
        <bgColor indexed="64"/>
      </patternFill>
    </fill>
    <fill>
      <patternFill patternType="solid">
        <fgColor theme="0" tint="-0.249977111117893"/>
        <bgColor indexed="64"/>
      </patternFill>
    </fill>
  </fills>
  <borders count="118">
    <border>
      <left/>
      <right/>
      <top/>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style="medium">
        <color auto="1"/>
      </right>
      <top/>
      <bottom style="medium">
        <color auto="1"/>
      </bottom>
      <diagonal/>
    </border>
    <border>
      <left/>
      <right style="medium">
        <color auto="1"/>
      </right>
      <top style="medium">
        <color auto="1"/>
      </top>
      <bottom style="medium">
        <color auto="1"/>
      </bottom>
      <diagonal/>
    </border>
    <border>
      <left/>
      <right/>
      <top style="medium">
        <color auto="1"/>
      </top>
      <bottom/>
      <diagonal/>
    </border>
    <border>
      <left/>
      <right/>
      <top/>
      <bottom style="medium">
        <color auto="1"/>
      </bottom>
      <diagonal/>
    </border>
    <border>
      <left style="medium">
        <color auto="1"/>
      </left>
      <right/>
      <top/>
      <bottom/>
      <diagonal/>
    </border>
    <border>
      <left/>
      <right style="medium">
        <color auto="1"/>
      </right>
      <top/>
      <bottom/>
      <diagonal/>
    </border>
    <border>
      <left style="medium">
        <color auto="1"/>
      </left>
      <right/>
      <top style="medium">
        <color auto="1"/>
      </top>
      <bottom style="medium">
        <color auto="1"/>
      </bottom>
      <diagonal/>
    </border>
    <border>
      <left/>
      <right/>
      <top style="medium">
        <color auto="1"/>
      </top>
      <bottom style="medium">
        <color auto="1"/>
      </bottom>
      <diagonal/>
    </border>
    <border>
      <left style="thin">
        <color auto="1"/>
      </left>
      <right style="thin">
        <color auto="1"/>
      </right>
      <top style="thin">
        <color auto="1"/>
      </top>
      <bottom style="thin">
        <color auto="1"/>
      </bottom>
      <diagonal/>
    </border>
    <border>
      <left/>
      <right/>
      <top/>
      <bottom style="thin">
        <color auto="1"/>
      </bottom>
      <diagonal/>
    </border>
    <border>
      <left/>
      <right style="thin">
        <color auto="1"/>
      </right>
      <top style="thin">
        <color auto="1"/>
      </top>
      <bottom/>
      <diagonal/>
    </border>
    <border>
      <left/>
      <right style="thin">
        <color auto="1"/>
      </right>
      <top/>
      <bottom style="thin">
        <color auto="1"/>
      </bottom>
      <diagonal/>
    </border>
    <border>
      <left/>
      <right/>
      <top style="thin">
        <color auto="1"/>
      </top>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top style="thin">
        <color auto="1"/>
      </top>
      <bottom style="thin">
        <color auto="1"/>
      </bottom>
      <diagonal/>
    </border>
    <border>
      <left/>
      <right/>
      <top style="thin">
        <color auto="1"/>
      </top>
      <bottom style="thin">
        <color auto="1"/>
      </bottom>
      <diagonal/>
    </border>
    <border>
      <left/>
      <right style="medium">
        <color auto="1"/>
      </right>
      <top style="thin">
        <color auto="1"/>
      </top>
      <bottom style="thin">
        <color auto="1"/>
      </bottom>
      <diagonal/>
    </border>
    <border>
      <left style="thin">
        <color auto="1"/>
      </left>
      <right style="thin">
        <color auto="1"/>
      </right>
      <top style="medium">
        <color auto="1"/>
      </top>
      <bottom style="medium">
        <color auto="1"/>
      </bottom>
      <diagonal/>
    </border>
    <border>
      <left style="thin">
        <color auto="1"/>
      </left>
      <right/>
      <top style="medium">
        <color auto="1"/>
      </top>
      <bottom/>
      <diagonal/>
    </border>
    <border>
      <left/>
      <right style="thin">
        <color auto="1"/>
      </right>
      <top style="medium">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bottom style="medium">
        <color auto="1"/>
      </bottom>
      <diagonal/>
    </border>
    <border>
      <left/>
      <right style="thin">
        <color auto="1"/>
      </right>
      <top/>
      <bottom style="medium">
        <color auto="1"/>
      </bottom>
      <diagonal/>
    </border>
    <border>
      <left style="thin">
        <color auto="1"/>
      </left>
      <right/>
      <top style="thin">
        <color auto="1"/>
      </top>
      <bottom/>
      <diagonal/>
    </border>
    <border>
      <left style="thin">
        <color auto="1"/>
      </left>
      <right/>
      <top style="medium">
        <color auto="1"/>
      </top>
      <bottom style="medium">
        <color auto="1"/>
      </bottom>
      <diagonal/>
    </border>
    <border>
      <left style="thin">
        <color auto="1"/>
      </left>
      <right/>
      <top style="medium">
        <color auto="1"/>
      </top>
      <bottom style="thin">
        <color auto="1"/>
      </bottom>
      <diagonal/>
    </border>
    <border>
      <left/>
      <right/>
      <top style="medium">
        <color auto="1"/>
      </top>
      <bottom style="thin">
        <color auto="1"/>
      </bottom>
      <diagonal/>
    </border>
    <border>
      <left/>
      <right style="thin">
        <color auto="1"/>
      </right>
      <top style="medium">
        <color auto="1"/>
      </top>
      <bottom style="thin">
        <color auto="1"/>
      </bottom>
      <diagonal/>
    </border>
    <border>
      <left/>
      <right/>
      <top style="thin">
        <color auto="1"/>
      </top>
      <bottom style="medium">
        <color auto="1"/>
      </bottom>
      <diagonal/>
    </border>
    <border>
      <left/>
      <right style="thin">
        <color auto="1"/>
      </right>
      <top style="thin">
        <color auto="1"/>
      </top>
      <bottom style="medium">
        <color auto="1"/>
      </bottom>
      <diagonal/>
    </border>
    <border>
      <left style="medium">
        <color auto="1"/>
      </left>
      <right style="thin">
        <color auto="1"/>
      </right>
      <top style="medium">
        <color auto="1"/>
      </top>
      <bottom/>
      <diagonal/>
    </border>
    <border>
      <left/>
      <right/>
      <top style="dashed">
        <color auto="1"/>
      </top>
      <bottom style="dashed">
        <color auto="1"/>
      </bottom>
      <diagonal/>
    </border>
    <border>
      <left/>
      <right style="medium">
        <color auto="1"/>
      </right>
      <top style="dashed">
        <color auto="1"/>
      </top>
      <bottom style="dashed">
        <color auto="1"/>
      </bottom>
      <diagonal/>
    </border>
    <border>
      <left style="medium">
        <color auto="1"/>
      </left>
      <right/>
      <top style="dashed">
        <color auto="1"/>
      </top>
      <bottom style="dashed">
        <color auto="1"/>
      </bottom>
      <diagonal/>
    </border>
    <border>
      <left/>
      <right/>
      <top style="medium">
        <color auto="1"/>
      </top>
      <bottom style="dashed">
        <color auto="1"/>
      </bottom>
      <diagonal/>
    </border>
    <border>
      <left/>
      <right/>
      <top style="dashed">
        <color auto="1"/>
      </top>
      <bottom style="medium">
        <color auto="1"/>
      </bottom>
      <diagonal/>
    </border>
    <border>
      <left style="medium">
        <color auto="1"/>
      </left>
      <right/>
      <top style="medium">
        <color auto="1"/>
      </top>
      <bottom style="thin">
        <color auto="1"/>
      </bottom>
      <diagonal/>
    </border>
    <border>
      <left style="medium">
        <color auto="1"/>
      </left>
      <right/>
      <top style="thin">
        <color auto="1"/>
      </top>
      <bottom style="medium">
        <color auto="1"/>
      </bottom>
      <diagonal/>
    </border>
    <border>
      <left/>
      <right style="medium">
        <color auto="1"/>
      </right>
      <top style="medium">
        <color auto="1"/>
      </top>
      <bottom style="thin">
        <color auto="1"/>
      </bottom>
      <diagonal/>
    </border>
    <border>
      <left/>
      <right style="medium">
        <color auto="1"/>
      </right>
      <top/>
      <bottom style="thin">
        <color auto="1"/>
      </bottom>
      <diagonal/>
    </border>
    <border>
      <left/>
      <right style="medium">
        <color auto="1"/>
      </right>
      <top style="thin">
        <color auto="1"/>
      </top>
      <bottom style="medium">
        <color auto="1"/>
      </bottom>
      <diagonal/>
    </border>
    <border>
      <left/>
      <right style="medium">
        <color auto="1"/>
      </right>
      <top style="medium">
        <color auto="1"/>
      </top>
      <bottom style="dashed">
        <color auto="1"/>
      </bottom>
      <diagonal/>
    </border>
    <border>
      <left/>
      <right style="medium">
        <color auto="1"/>
      </right>
      <top style="dashed">
        <color auto="1"/>
      </top>
      <bottom style="medium">
        <color auto="1"/>
      </bottom>
      <diagonal/>
    </border>
    <border>
      <left/>
      <right/>
      <top/>
      <bottom style="dashed">
        <color auto="1"/>
      </bottom>
      <diagonal/>
    </border>
    <border>
      <left/>
      <right style="medium">
        <color auto="1"/>
      </right>
      <top/>
      <bottom style="dashed">
        <color auto="1"/>
      </bottom>
      <diagonal/>
    </border>
    <border>
      <left style="medium">
        <color auto="1"/>
      </left>
      <right/>
      <top style="medium">
        <color auto="1"/>
      </top>
      <bottom style="dashed">
        <color auto="1"/>
      </bottom>
      <diagonal/>
    </border>
    <border>
      <left style="medium">
        <color auto="1"/>
      </left>
      <right/>
      <top style="dashed">
        <color auto="1"/>
      </top>
      <bottom style="medium">
        <color auto="1"/>
      </bottom>
      <diagonal/>
    </border>
    <border>
      <left/>
      <right style="medium">
        <color auto="1"/>
      </right>
      <top style="thin">
        <color auto="1"/>
      </top>
      <bottom/>
      <diagonal/>
    </border>
    <border>
      <left style="hair">
        <color auto="1"/>
      </left>
      <right style="hair">
        <color auto="1"/>
      </right>
      <top style="hair">
        <color auto="1"/>
      </top>
      <bottom style="thin">
        <color auto="1"/>
      </bottom>
      <diagonal/>
    </border>
    <border>
      <left/>
      <right/>
      <top style="medium">
        <color auto="1"/>
      </top>
      <bottom style="hair">
        <color auto="1"/>
      </bottom>
      <diagonal/>
    </border>
    <border>
      <left style="thin">
        <color auto="1"/>
      </left>
      <right style="thin">
        <color auto="1"/>
      </right>
      <top style="medium">
        <color auto="1"/>
      </top>
      <bottom/>
      <diagonal/>
    </border>
    <border>
      <left style="medium">
        <color auto="1"/>
      </left>
      <right style="medium">
        <color auto="1"/>
      </right>
      <top style="medium">
        <color auto="1"/>
      </top>
      <bottom style="medium">
        <color auto="1"/>
      </bottom>
      <diagonal/>
    </border>
    <border>
      <left/>
      <right/>
      <top style="dashed">
        <color auto="1"/>
      </top>
      <bottom/>
      <diagonal/>
    </border>
    <border>
      <left style="thin">
        <color auto="1"/>
      </left>
      <right/>
      <top/>
      <bottom/>
      <diagonal/>
    </border>
    <border>
      <left/>
      <right style="thin">
        <color auto="1"/>
      </right>
      <top/>
      <bottom/>
      <diagonal/>
    </border>
    <border>
      <left style="thin">
        <color auto="1"/>
      </left>
      <right/>
      <top style="thin">
        <color auto="1"/>
      </top>
      <bottom style="medium">
        <color auto="1"/>
      </bottom>
      <diagonal/>
    </border>
    <border>
      <left style="medium">
        <color auto="1"/>
      </left>
      <right/>
      <top/>
      <bottom style="thin">
        <color auto="1"/>
      </bottom>
      <diagonal/>
    </border>
    <border>
      <left style="medium">
        <color auto="1"/>
      </left>
      <right/>
      <top style="thin">
        <color auto="1"/>
      </top>
      <bottom/>
      <diagonal/>
    </border>
    <border>
      <left style="thin">
        <color auto="1"/>
      </left>
      <right/>
      <top/>
      <bottom style="thin">
        <color auto="1"/>
      </bottom>
      <diagonal/>
    </border>
    <border>
      <left/>
      <right style="thin">
        <color auto="1"/>
      </right>
      <top style="medium">
        <color auto="1"/>
      </top>
      <bottom style="medium">
        <color auto="1"/>
      </bottom>
      <diagonal/>
    </border>
    <border>
      <left/>
      <right style="medium">
        <color auto="1"/>
      </right>
      <top style="medium">
        <color auto="1"/>
      </top>
      <bottom style="dotted">
        <color auto="1"/>
      </bottom>
      <diagonal/>
    </border>
    <border>
      <left/>
      <right/>
      <top style="medium">
        <color auto="1"/>
      </top>
      <bottom style="dotted">
        <color auto="1"/>
      </bottom>
      <diagonal/>
    </border>
    <border>
      <left/>
      <right/>
      <top style="dotted">
        <color auto="1"/>
      </top>
      <bottom style="dotted">
        <color auto="1"/>
      </bottom>
      <diagonal/>
    </border>
    <border>
      <left/>
      <right style="medium">
        <color auto="1"/>
      </right>
      <top style="dotted">
        <color auto="1"/>
      </top>
      <bottom style="dotted">
        <color auto="1"/>
      </bottom>
      <diagonal/>
    </border>
    <border>
      <left/>
      <right/>
      <top style="dotted">
        <color auto="1"/>
      </top>
      <bottom style="medium">
        <color auto="1"/>
      </bottom>
      <diagonal/>
    </border>
    <border>
      <left style="medium">
        <color auto="1"/>
      </left>
      <right/>
      <top/>
      <bottom style="dotted">
        <color auto="1"/>
      </bottom>
      <diagonal/>
    </border>
    <border>
      <left/>
      <right/>
      <top/>
      <bottom style="dotted">
        <color auto="1"/>
      </bottom>
      <diagonal/>
    </border>
    <border>
      <left style="medium">
        <color auto="1"/>
      </left>
      <right/>
      <top style="dotted">
        <color auto="1"/>
      </top>
      <bottom style="dotted">
        <color auto="1"/>
      </bottom>
      <diagonal/>
    </border>
    <border>
      <left style="medium">
        <color auto="1"/>
      </left>
      <right/>
      <top style="medium">
        <color auto="1"/>
      </top>
      <bottom style="dotted">
        <color auto="1"/>
      </bottom>
      <diagonal/>
    </border>
    <border>
      <left/>
      <right style="medium">
        <color auto="1"/>
      </right>
      <top style="dotted">
        <color auto="1"/>
      </top>
      <bottom style="medium">
        <color auto="1"/>
      </bottom>
      <diagonal/>
    </border>
    <border>
      <left style="medium">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medium">
        <color auto="1"/>
      </left>
      <right/>
      <top/>
      <bottom style="dashed">
        <color auto="1"/>
      </bottom>
      <diagonal/>
    </border>
    <border>
      <left style="medium">
        <color auto="1"/>
      </left>
      <right/>
      <top style="dashed">
        <color auto="1"/>
      </top>
      <bottom/>
      <diagonal/>
    </border>
    <border>
      <left/>
      <right style="medium">
        <color auto="1"/>
      </right>
      <top style="dashed">
        <color auto="1"/>
      </top>
      <bottom/>
      <diagonal/>
    </border>
    <border>
      <left/>
      <right/>
      <top style="thin">
        <color indexed="64"/>
      </top>
      <bottom style="double">
        <color indexed="64"/>
      </bottom>
      <diagonal/>
    </border>
    <border>
      <left/>
      <right/>
      <top/>
      <bottom style="double">
        <color indexed="64"/>
      </bottom>
      <diagonal/>
    </border>
    <border>
      <left/>
      <right/>
      <top style="double">
        <color indexed="64"/>
      </top>
      <bottom/>
      <diagonal/>
    </border>
    <border>
      <left/>
      <right/>
      <top style="double">
        <color indexed="64"/>
      </top>
      <bottom style="double">
        <color indexed="64"/>
      </bottom>
      <diagonal/>
    </border>
    <border>
      <left style="thin">
        <color auto="1"/>
      </left>
      <right/>
      <top style="dashed">
        <color auto="1"/>
      </top>
      <bottom style="dashed">
        <color auto="1"/>
      </bottom>
      <diagonal/>
    </border>
    <border>
      <left/>
      <right style="thin">
        <color auto="1"/>
      </right>
      <top style="dashed">
        <color auto="1"/>
      </top>
      <bottom style="dashed">
        <color auto="1"/>
      </bottom>
      <diagonal/>
    </border>
    <border>
      <left/>
      <right style="thin">
        <color auto="1"/>
      </right>
      <top/>
      <bottom style="dashed">
        <color auto="1"/>
      </bottom>
      <diagonal/>
    </border>
    <border>
      <left style="thin">
        <color auto="1"/>
      </left>
      <right/>
      <top/>
      <bottom style="dashed">
        <color auto="1"/>
      </bottom>
      <diagonal/>
    </border>
    <border>
      <left/>
      <right/>
      <top style="thin">
        <color auto="1"/>
      </top>
      <bottom style="dashed">
        <color auto="1"/>
      </bottom>
      <diagonal/>
    </border>
    <border>
      <left/>
      <right style="thin">
        <color auto="1"/>
      </right>
      <top style="dashed">
        <color auto="1"/>
      </top>
      <bottom/>
      <diagonal/>
    </border>
    <border>
      <left style="thin">
        <color auto="1"/>
      </left>
      <right/>
      <top style="dashed">
        <color auto="1"/>
      </top>
      <bottom/>
      <diagonal/>
    </border>
    <border>
      <left/>
      <right style="medium">
        <color auto="1"/>
      </right>
      <top/>
      <bottom style="dotted">
        <color auto="1"/>
      </bottom>
      <diagonal/>
    </border>
    <border>
      <left style="medium">
        <color auto="1"/>
      </left>
      <right/>
      <top style="dotted">
        <color auto="1"/>
      </top>
      <bottom style="medium">
        <color auto="1"/>
      </bottom>
      <diagonal/>
    </border>
    <border>
      <left/>
      <right style="medium">
        <color auto="1"/>
      </right>
      <top style="medium">
        <color auto="1"/>
      </top>
      <bottom style="hair">
        <color auto="1"/>
      </bottom>
      <diagonal/>
    </border>
    <border>
      <left/>
      <right/>
      <top style="hair">
        <color auto="1"/>
      </top>
      <bottom style="thin">
        <color indexed="64"/>
      </bottom>
      <diagonal/>
    </border>
    <border>
      <left style="hair">
        <color auto="1"/>
      </left>
      <right/>
      <top style="hair">
        <color auto="1"/>
      </top>
      <bottom style="thin">
        <color auto="1"/>
      </bottom>
      <diagonal/>
    </border>
    <border>
      <left/>
      <right style="hair">
        <color auto="1"/>
      </right>
      <top style="hair">
        <color auto="1"/>
      </top>
      <bottom style="thin">
        <color auto="1"/>
      </bottom>
      <diagonal/>
    </border>
    <border>
      <left/>
      <right style="medium">
        <color auto="1"/>
      </right>
      <top style="hair">
        <color auto="1"/>
      </top>
      <bottom style="thin">
        <color auto="1"/>
      </bottom>
      <diagonal/>
    </border>
    <border>
      <left style="hair">
        <color auto="1"/>
      </left>
      <right style="hair">
        <color auto="1"/>
      </right>
      <top style="thin">
        <color auto="1"/>
      </top>
      <bottom style="medium">
        <color auto="1"/>
      </bottom>
      <diagonal/>
    </border>
    <border>
      <left style="hair">
        <color auto="1"/>
      </left>
      <right style="medium">
        <color auto="1"/>
      </right>
      <top style="thin">
        <color auto="1"/>
      </top>
      <bottom style="medium">
        <color auto="1"/>
      </bottom>
      <diagonal/>
    </border>
    <border>
      <left style="thin">
        <color auto="1"/>
      </left>
      <right style="thin">
        <color auto="1"/>
      </right>
      <top/>
      <bottom/>
      <diagonal/>
    </border>
    <border>
      <left style="thin">
        <color auto="1"/>
      </left>
      <right style="thin">
        <color auto="1"/>
      </right>
      <top/>
      <bottom style="medium">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medium">
        <color auto="1"/>
      </left>
      <right style="thin">
        <color auto="1"/>
      </right>
      <top style="thin">
        <color auto="1"/>
      </top>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thin">
        <color auto="1"/>
      </left>
      <right style="medium">
        <color auto="1"/>
      </right>
      <top style="thin">
        <color auto="1"/>
      </top>
      <bottom/>
      <diagonal/>
    </border>
    <border>
      <left style="thin">
        <color auto="1"/>
      </left>
      <right style="medium">
        <color auto="1"/>
      </right>
      <top/>
      <bottom/>
      <diagonal/>
    </border>
    <border>
      <left style="thin">
        <color auto="1"/>
      </left>
      <right style="medium">
        <color auto="1"/>
      </right>
      <top/>
      <bottom style="medium">
        <color auto="1"/>
      </bottom>
      <diagonal/>
    </border>
    <border>
      <left style="medium">
        <color auto="1"/>
      </left>
      <right style="thin">
        <color auto="1"/>
      </right>
      <top/>
      <bottom/>
      <diagonal/>
    </border>
  </borders>
  <cellStyleXfs count="31">
    <xf numFmtId="0" fontId="0" fillId="0" borderId="0"/>
    <xf numFmtId="0" fontId="23" fillId="0" borderId="0"/>
    <xf numFmtId="0" fontId="41" fillId="0" borderId="0" applyNumberFormat="0" applyFill="0" applyBorder="0" applyAlignment="0" applyProtection="0"/>
    <xf numFmtId="0" fontId="42" fillId="0" borderId="0" applyNumberFormat="0" applyFill="0" applyBorder="0" applyAlignment="0" applyProtection="0"/>
    <xf numFmtId="0" fontId="41" fillId="0" borderId="0" applyNumberFormat="0" applyFill="0" applyBorder="0" applyAlignment="0" applyProtection="0"/>
    <xf numFmtId="0" fontId="42" fillId="0" borderId="0" applyNumberFormat="0" applyFill="0" applyBorder="0" applyAlignment="0" applyProtection="0"/>
    <xf numFmtId="0" fontId="41" fillId="0" borderId="0" applyNumberFormat="0" applyFill="0" applyBorder="0" applyAlignment="0" applyProtection="0"/>
    <xf numFmtId="0" fontId="42" fillId="0" borderId="0" applyNumberFormat="0" applyFill="0" applyBorder="0" applyAlignment="0" applyProtection="0"/>
    <xf numFmtId="0" fontId="41" fillId="0" borderId="0" applyNumberFormat="0" applyFill="0" applyBorder="0" applyAlignment="0" applyProtection="0"/>
    <xf numFmtId="0" fontId="42" fillId="0" borderId="0" applyNumberFormat="0" applyFill="0" applyBorder="0" applyAlignment="0" applyProtection="0"/>
    <xf numFmtId="0" fontId="41" fillId="0" borderId="0" applyNumberFormat="0" applyFill="0" applyBorder="0" applyAlignment="0" applyProtection="0"/>
    <xf numFmtId="0" fontId="42" fillId="0" borderId="0" applyNumberFormat="0" applyFill="0" applyBorder="0" applyAlignment="0" applyProtection="0"/>
    <xf numFmtId="0" fontId="41" fillId="0" borderId="0" applyNumberFormat="0" applyFill="0" applyBorder="0" applyAlignment="0" applyProtection="0"/>
    <xf numFmtId="0" fontId="42" fillId="0" borderId="0" applyNumberFormat="0" applyFill="0" applyBorder="0" applyAlignment="0" applyProtection="0"/>
    <xf numFmtId="0" fontId="41" fillId="0" borderId="0" applyNumberFormat="0" applyFill="0" applyBorder="0" applyAlignment="0" applyProtection="0"/>
    <xf numFmtId="0" fontId="42" fillId="0" borderId="0" applyNumberFormat="0" applyFill="0" applyBorder="0" applyAlignment="0" applyProtection="0"/>
    <xf numFmtId="0" fontId="41" fillId="0" borderId="0" applyNumberFormat="0" applyFill="0" applyBorder="0" applyAlignment="0" applyProtection="0"/>
    <xf numFmtId="0" fontId="42" fillId="0" borderId="0" applyNumberFormat="0" applyFill="0" applyBorder="0" applyAlignment="0" applyProtection="0"/>
    <xf numFmtId="0" fontId="41" fillId="0" borderId="0" applyNumberFormat="0" applyFill="0" applyBorder="0" applyAlignment="0" applyProtection="0"/>
    <xf numFmtId="0" fontId="42" fillId="0" borderId="0" applyNumberFormat="0" applyFill="0" applyBorder="0" applyAlignment="0" applyProtection="0"/>
    <xf numFmtId="0" fontId="41" fillId="0" borderId="0" applyNumberFormat="0" applyFill="0" applyBorder="0" applyAlignment="0" applyProtection="0"/>
    <xf numFmtId="0" fontId="42" fillId="0" borderId="0" applyNumberFormat="0" applyFill="0" applyBorder="0" applyAlignment="0" applyProtection="0"/>
    <xf numFmtId="0" fontId="41" fillId="0" borderId="0" applyNumberFormat="0" applyFill="0" applyBorder="0" applyAlignment="0" applyProtection="0"/>
    <xf numFmtId="0" fontId="42" fillId="0" borderId="0" applyNumberFormat="0" applyFill="0" applyBorder="0" applyAlignment="0" applyProtection="0"/>
    <xf numFmtId="0" fontId="41" fillId="0" borderId="0" applyNumberFormat="0" applyFill="0" applyBorder="0" applyAlignment="0" applyProtection="0"/>
    <xf numFmtId="0" fontId="42" fillId="0" borderId="0" applyNumberFormat="0" applyFill="0" applyBorder="0" applyAlignment="0" applyProtection="0"/>
    <xf numFmtId="0" fontId="41" fillId="0" borderId="0" applyNumberFormat="0" applyFill="0" applyBorder="0" applyAlignment="0" applyProtection="0"/>
    <xf numFmtId="0" fontId="42" fillId="0" borderId="0" applyNumberFormat="0" applyFill="0" applyBorder="0" applyAlignment="0" applyProtection="0"/>
    <xf numFmtId="0" fontId="41" fillId="0" borderId="0" applyNumberFormat="0" applyFill="0" applyBorder="0" applyAlignment="0" applyProtection="0"/>
    <xf numFmtId="0" fontId="42" fillId="0" borderId="0" applyNumberFormat="0" applyFill="0" applyBorder="0" applyAlignment="0" applyProtection="0"/>
    <xf numFmtId="9" fontId="49" fillId="0" borderId="0" applyFont="0" applyFill="0" applyBorder="0" applyAlignment="0" applyProtection="0"/>
  </cellStyleXfs>
  <cellXfs count="1948">
    <xf numFmtId="0" fontId="0" fillId="0" borderId="0" xfId="0"/>
    <xf numFmtId="0" fontId="0" fillId="0" borderId="2" xfId="0" applyBorder="1"/>
    <xf numFmtId="0" fontId="0" fillId="0" borderId="3" xfId="0" applyBorder="1"/>
    <xf numFmtId="0" fontId="0" fillId="0" borderId="4" xfId="0" applyBorder="1"/>
    <xf numFmtId="0" fontId="0" fillId="0" borderId="9" xfId="0" applyBorder="1"/>
    <xf numFmtId="0" fontId="0" fillId="0" borderId="7" xfId="0" applyBorder="1"/>
    <xf numFmtId="0" fontId="0" fillId="0" borderId="6" xfId="0" applyBorder="1"/>
    <xf numFmtId="0" fontId="0" fillId="0" borderId="1" xfId="0" applyBorder="1"/>
    <xf numFmtId="0" fontId="0" fillId="0" borderId="8" xfId="0" applyBorder="1"/>
    <xf numFmtId="0" fontId="0" fillId="0" borderId="0" xfId="0" applyBorder="1"/>
    <xf numFmtId="0" fontId="0" fillId="0" borderId="23" xfId="0" applyBorder="1"/>
    <xf numFmtId="0" fontId="6" fillId="0" borderId="0" xfId="0" applyFont="1" applyBorder="1" applyAlignment="1">
      <alignment vertical="top"/>
    </xf>
    <xf numFmtId="0" fontId="0" fillId="0" borderId="13" xfId="0" applyBorder="1"/>
    <xf numFmtId="0" fontId="0" fillId="0" borderId="0" xfId="0" applyBorder="1" applyAlignment="1">
      <alignment horizontal="left" vertical="top"/>
    </xf>
    <xf numFmtId="0" fontId="0" fillId="0" borderId="10" xfId="0" applyBorder="1"/>
    <xf numFmtId="0" fontId="0" fillId="0" borderId="11" xfId="0" applyBorder="1"/>
    <xf numFmtId="0" fontId="0" fillId="0" borderId="0" xfId="0" applyBorder="1" applyAlignment="1">
      <alignment vertical="top"/>
    </xf>
    <xf numFmtId="0" fontId="0" fillId="0" borderId="0" xfId="0" applyAlignment="1">
      <alignment wrapText="1"/>
    </xf>
    <xf numFmtId="0" fontId="0" fillId="0" borderId="0" xfId="0" applyFill="1" applyBorder="1"/>
    <xf numFmtId="0" fontId="0" fillId="0" borderId="0" xfId="0" applyAlignment="1">
      <alignment vertical="top" wrapText="1"/>
    </xf>
    <xf numFmtId="0" fontId="0" fillId="0" borderId="28" xfId="0" applyBorder="1"/>
    <xf numFmtId="0" fontId="0" fillId="0" borderId="29" xfId="0" applyBorder="1"/>
    <xf numFmtId="49" fontId="13" fillId="2" borderId="12" xfId="0" applyNumberFormat="1" applyFont="1" applyFill="1" applyBorder="1" applyAlignment="1" applyProtection="1">
      <alignment horizontal="center" vertical="center"/>
      <protection locked="0"/>
    </xf>
    <xf numFmtId="0" fontId="0" fillId="0" borderId="0" xfId="0" applyBorder="1" applyAlignment="1">
      <alignment vertical="top" wrapText="1"/>
    </xf>
    <xf numFmtId="0" fontId="15" fillId="0" borderId="0" xfId="0" applyFont="1"/>
    <xf numFmtId="0" fontId="15" fillId="0" borderId="0" xfId="0" applyFont="1" applyBorder="1" applyProtection="1"/>
    <xf numFmtId="0" fontId="16" fillId="0" borderId="0" xfId="0" applyFont="1" applyBorder="1" applyProtection="1"/>
    <xf numFmtId="0" fontId="17" fillId="0" borderId="0" xfId="0" applyFont="1" applyBorder="1" applyAlignment="1" applyProtection="1">
      <alignment vertical="center"/>
    </xf>
    <xf numFmtId="0" fontId="18" fillId="0" borderId="0" xfId="0" applyFont="1" applyBorder="1" applyAlignment="1" applyProtection="1">
      <alignment vertical="center"/>
    </xf>
    <xf numFmtId="0" fontId="20" fillId="0" borderId="0" xfId="0" applyFont="1" applyFill="1" applyBorder="1" applyAlignment="1" applyProtection="1">
      <alignment vertical="center" wrapText="1"/>
    </xf>
    <xf numFmtId="0" fontId="16" fillId="0" borderId="0" xfId="0" applyFont="1" applyBorder="1" applyAlignment="1" applyProtection="1">
      <alignment vertical="center"/>
    </xf>
    <xf numFmtId="0" fontId="15" fillId="2" borderId="0" xfId="0" applyFont="1" applyFill="1" applyBorder="1"/>
    <xf numFmtId="0" fontId="15" fillId="2" borderId="0" xfId="0" applyFont="1" applyFill="1" applyBorder="1" applyAlignment="1">
      <alignment horizontal="right"/>
    </xf>
    <xf numFmtId="0" fontId="16" fillId="0" borderId="0" xfId="0" applyFont="1" applyBorder="1" applyAlignment="1" applyProtection="1"/>
    <xf numFmtId="0" fontId="15" fillId="0" borderId="0" xfId="0" applyFont="1" applyBorder="1" applyAlignment="1">
      <alignment horizontal="center"/>
    </xf>
    <xf numFmtId="14" fontId="15" fillId="0" borderId="0" xfId="0" applyNumberFormat="1" applyFont="1" applyFill="1" applyBorder="1" applyAlignment="1" applyProtection="1">
      <alignment vertical="top"/>
      <protection locked="0"/>
    </xf>
    <xf numFmtId="0" fontId="15" fillId="0" borderId="0" xfId="0" applyFont="1" applyBorder="1" applyAlignment="1"/>
    <xf numFmtId="0" fontId="15" fillId="0" borderId="9" xfId="0" applyFont="1" applyBorder="1" applyAlignment="1"/>
    <xf numFmtId="0" fontId="16" fillId="0" borderId="0" xfId="0" applyFont="1" applyFill="1" applyBorder="1" applyAlignment="1" applyProtection="1">
      <alignment vertical="center" wrapText="1"/>
    </xf>
    <xf numFmtId="0" fontId="16" fillId="0" borderId="0" xfId="0" applyFont="1" applyBorder="1" applyAlignment="1" applyProtection="1">
      <alignment vertical="center" wrapText="1"/>
    </xf>
    <xf numFmtId="0" fontId="15" fillId="0" borderId="0" xfId="0" applyFont="1" applyBorder="1" applyProtection="1">
      <protection locked="0"/>
    </xf>
    <xf numFmtId="0" fontId="15" fillId="0" borderId="0" xfId="0" applyFont="1" applyFill="1"/>
    <xf numFmtId="0" fontId="15" fillId="2" borderId="8" xfId="0" applyFont="1" applyFill="1" applyBorder="1"/>
    <xf numFmtId="0" fontId="19" fillId="0" borderId="0" xfId="0" applyFont="1" applyBorder="1" applyProtection="1"/>
    <xf numFmtId="0" fontId="16" fillId="0" borderId="0" xfId="0" applyFont="1" applyBorder="1" applyAlignment="1" applyProtection="1">
      <alignment wrapText="1"/>
    </xf>
    <xf numFmtId="0" fontId="21" fillId="0" borderId="0" xfId="0" applyFont="1" applyBorder="1" applyAlignment="1" applyProtection="1">
      <alignment vertical="center"/>
    </xf>
    <xf numFmtId="0" fontId="19" fillId="0" borderId="0" xfId="0" applyFont="1" applyAlignment="1" applyProtection="1">
      <alignment vertical="center"/>
    </xf>
    <xf numFmtId="0" fontId="19" fillId="0" borderId="0" xfId="0" applyFont="1" applyBorder="1" applyAlignment="1" applyProtection="1">
      <alignment vertical="center"/>
    </xf>
    <xf numFmtId="0" fontId="16" fillId="0" borderId="0" xfId="0" applyFont="1" applyBorder="1" applyAlignment="1" applyProtection="1">
      <alignment vertical="top" wrapText="1"/>
    </xf>
    <xf numFmtId="0" fontId="16" fillId="0" borderId="0" xfId="0" applyFont="1" applyBorder="1" applyAlignment="1" applyProtection="1">
      <alignment vertical="top"/>
    </xf>
    <xf numFmtId="0" fontId="22" fillId="0" borderId="0" xfId="0" applyFont="1" applyBorder="1" applyProtection="1"/>
    <xf numFmtId="0" fontId="16" fillId="0" borderId="1" xfId="0" applyFont="1" applyFill="1" applyBorder="1" applyAlignment="1">
      <alignment horizontal="center" vertical="center"/>
    </xf>
    <xf numFmtId="0" fontId="16" fillId="0" borderId="6" xfId="0" applyFont="1" applyFill="1" applyBorder="1" applyAlignment="1">
      <alignment horizontal="center" vertical="center"/>
    </xf>
    <xf numFmtId="0" fontId="16" fillId="0" borderId="2" xfId="0" applyFont="1" applyFill="1" applyBorder="1" applyAlignment="1">
      <alignment horizontal="center" vertical="center"/>
    </xf>
    <xf numFmtId="0" fontId="15" fillId="0" borderId="3" xfId="0" applyFont="1" applyFill="1" applyBorder="1"/>
    <xf numFmtId="0" fontId="15" fillId="0" borderId="7" xfId="0" applyFont="1" applyFill="1" applyBorder="1"/>
    <xf numFmtId="0" fontId="15" fillId="0" borderId="7" xfId="0" applyFont="1" applyFill="1" applyBorder="1" applyAlignment="1">
      <alignment horizontal="left" vertical="center"/>
    </xf>
    <xf numFmtId="0" fontId="15" fillId="0" borderId="7" xfId="0" applyFont="1" applyFill="1" applyBorder="1" applyAlignment="1">
      <alignment horizontal="left" vertical="top"/>
    </xf>
    <xf numFmtId="0" fontId="15" fillId="0" borderId="8" xfId="0" applyFont="1" applyBorder="1" applyAlignment="1">
      <alignment vertical="center"/>
    </xf>
    <xf numFmtId="0" fontId="15" fillId="2" borderId="1" xfId="0" applyFont="1" applyFill="1" applyBorder="1"/>
    <xf numFmtId="0" fontId="27" fillId="0" borderId="0" xfId="0" applyFont="1"/>
    <xf numFmtId="0" fontId="15" fillId="2" borderId="3" xfId="0" applyFont="1" applyFill="1" applyBorder="1"/>
    <xf numFmtId="0" fontId="27" fillId="0" borderId="0" xfId="0" applyFont="1" applyAlignment="1">
      <alignment horizontal="center"/>
    </xf>
    <xf numFmtId="0" fontId="15" fillId="0" borderId="0" xfId="0" applyFont="1" applyProtection="1">
      <protection locked="0"/>
    </xf>
    <xf numFmtId="0" fontId="26" fillId="0" borderId="0" xfId="0" applyFont="1" applyAlignment="1">
      <alignment vertical="center"/>
    </xf>
    <xf numFmtId="0" fontId="0" fillId="0" borderId="0" xfId="0" applyFill="1" applyBorder="1" applyAlignment="1">
      <alignment vertical="top" wrapText="1"/>
    </xf>
    <xf numFmtId="0" fontId="6" fillId="0" borderId="0" xfId="0" applyFont="1" applyFill="1" applyBorder="1" applyAlignment="1">
      <alignment vertical="top"/>
    </xf>
    <xf numFmtId="0" fontId="0" fillId="0" borderId="0" xfId="0" applyFill="1" applyBorder="1" applyAlignment="1">
      <alignment vertical="top"/>
    </xf>
    <xf numFmtId="0" fontId="15" fillId="0" borderId="0" xfId="0" applyFont="1" applyBorder="1" applyAlignment="1" applyProtection="1">
      <alignment vertical="center"/>
    </xf>
    <xf numFmtId="0" fontId="16" fillId="0" borderId="0" xfId="0" applyFont="1" applyFill="1" applyBorder="1" applyAlignment="1" applyProtection="1">
      <alignment vertical="center"/>
    </xf>
    <xf numFmtId="0" fontId="15" fillId="0" borderId="0" xfId="0" applyFont="1" applyBorder="1" applyAlignment="1" applyProtection="1"/>
    <xf numFmtId="0" fontId="23" fillId="0" borderId="23" xfId="0" applyFont="1" applyFill="1" applyBorder="1" applyAlignment="1" applyProtection="1">
      <alignment vertical="center"/>
    </xf>
    <xf numFmtId="0" fontId="27" fillId="2" borderId="13" xfId="0" applyFont="1" applyFill="1" applyBorder="1" applyAlignment="1" applyProtection="1">
      <alignment horizontal="center" vertical="center"/>
      <protection locked="0"/>
    </xf>
    <xf numFmtId="0" fontId="15" fillId="0" borderId="0" xfId="0" applyFont="1" applyAlignment="1">
      <alignment wrapText="1"/>
    </xf>
    <xf numFmtId="0" fontId="0" fillId="0" borderId="16" xfId="0" applyBorder="1"/>
    <xf numFmtId="0" fontId="0" fillId="0" borderId="0" xfId="0" applyBorder="1" applyProtection="1"/>
    <xf numFmtId="0" fontId="0" fillId="0" borderId="0" xfId="0" applyBorder="1" applyAlignment="1" applyProtection="1"/>
    <xf numFmtId="0" fontId="0" fillId="0" borderId="13" xfId="0" applyBorder="1" applyAlignment="1">
      <alignment vertical="top" wrapText="1"/>
    </xf>
    <xf numFmtId="0" fontId="15" fillId="0" borderId="0" xfId="0" applyFont="1" applyBorder="1"/>
    <xf numFmtId="0" fontId="0" fillId="0" borderId="0" xfId="0" applyFill="1" applyBorder="1" applyProtection="1"/>
    <xf numFmtId="0" fontId="0" fillId="0" borderId="0" xfId="0" applyBorder="1" applyAlignment="1"/>
    <xf numFmtId="49" fontId="0" fillId="0" borderId="0" xfId="0" applyNumberFormat="1" applyBorder="1" applyAlignment="1" applyProtection="1"/>
    <xf numFmtId="0" fontId="34" fillId="0" borderId="0" xfId="0" applyFont="1" applyBorder="1" applyAlignment="1">
      <alignment vertical="center"/>
    </xf>
    <xf numFmtId="0" fontId="0" fillId="0" borderId="16" xfId="0" applyFill="1" applyBorder="1" applyAlignment="1">
      <alignment vertical="top"/>
    </xf>
    <xf numFmtId="0" fontId="0" fillId="0" borderId="13" xfId="0" applyFill="1" applyBorder="1" applyAlignment="1">
      <alignment vertical="top" wrapText="1"/>
    </xf>
    <xf numFmtId="0" fontId="0" fillId="0" borderId="13" xfId="0" applyBorder="1" applyAlignment="1">
      <alignment vertical="top"/>
    </xf>
    <xf numFmtId="0" fontId="23" fillId="0" borderId="16" xfId="0" applyFont="1" applyBorder="1" applyAlignment="1">
      <alignment wrapText="1"/>
    </xf>
    <xf numFmtId="0" fontId="23" fillId="0" borderId="13" xfId="0" applyFont="1" applyBorder="1" applyAlignment="1">
      <alignment wrapText="1"/>
    </xf>
    <xf numFmtId="0" fontId="0" fillId="0" borderId="16" xfId="0" applyBorder="1" applyAlignment="1">
      <alignment vertical="top"/>
    </xf>
    <xf numFmtId="0" fontId="0" fillId="0" borderId="16" xfId="0" applyBorder="1" applyAlignment="1">
      <alignment vertical="top" wrapText="1"/>
    </xf>
    <xf numFmtId="0" fontId="0" fillId="0" borderId="16" xfId="0" applyFill="1" applyBorder="1" applyAlignment="1">
      <alignment vertical="top" wrapText="1"/>
    </xf>
    <xf numFmtId="0" fontId="23" fillId="0" borderId="0" xfId="0" applyFont="1" applyFill="1" applyBorder="1" applyAlignment="1">
      <alignment wrapText="1"/>
    </xf>
    <xf numFmtId="0" fontId="23" fillId="0" borderId="0" xfId="0" applyFont="1" applyAlignment="1">
      <alignment wrapText="1"/>
    </xf>
    <xf numFmtId="0" fontId="27" fillId="0" borderId="0" xfId="0" applyFont="1" applyBorder="1" applyAlignment="1">
      <alignment horizontal="left" vertical="center"/>
    </xf>
    <xf numFmtId="0" fontId="27" fillId="2" borderId="13" xfId="0" applyFont="1" applyFill="1" applyBorder="1" applyAlignment="1" applyProtection="1">
      <alignment horizontal="center" vertical="center"/>
      <protection locked="0"/>
    </xf>
    <xf numFmtId="0" fontId="27" fillId="0" borderId="0" xfId="0" applyFont="1" applyBorder="1" applyAlignment="1">
      <alignment horizontal="left" vertical="center"/>
    </xf>
    <xf numFmtId="0" fontId="15" fillId="0" borderId="0" xfId="0" applyFont="1" applyFill="1" applyBorder="1"/>
    <xf numFmtId="0" fontId="15" fillId="0" borderId="0" xfId="0" applyFont="1" applyFill="1" applyBorder="1" applyAlignment="1">
      <alignment vertical="center"/>
    </xf>
    <xf numFmtId="0" fontId="0" fillId="0" borderId="0" xfId="0" applyFill="1" applyBorder="1" applyAlignment="1">
      <alignment wrapText="1"/>
    </xf>
    <xf numFmtId="0" fontId="0" fillId="0" borderId="0" xfId="0" applyBorder="1" applyAlignment="1">
      <alignment wrapText="1"/>
    </xf>
    <xf numFmtId="0" fontId="15" fillId="0" borderId="0" xfId="0" applyFont="1" applyBorder="1" applyAlignment="1">
      <alignment vertical="center"/>
    </xf>
    <xf numFmtId="0" fontId="31" fillId="0" borderId="0" xfId="0" applyFont="1" applyBorder="1" applyAlignment="1">
      <alignment horizontal="left" vertical="center"/>
    </xf>
    <xf numFmtId="0" fontId="31" fillId="0" borderId="0" xfId="0" applyFont="1"/>
    <xf numFmtId="0" fontId="31" fillId="0" borderId="1" xfId="0" applyFont="1" applyBorder="1"/>
    <xf numFmtId="0" fontId="31" fillId="0" borderId="6" xfId="0" applyFont="1" applyBorder="1"/>
    <xf numFmtId="0" fontId="31" fillId="0" borderId="26" xfId="0" applyFont="1" applyBorder="1"/>
    <xf numFmtId="0" fontId="31" fillId="0" borderId="27" xfId="0" applyFont="1" applyBorder="1"/>
    <xf numFmtId="0" fontId="31" fillId="0" borderId="8" xfId="0" applyFont="1" applyBorder="1"/>
    <xf numFmtId="0" fontId="31" fillId="0" borderId="0" xfId="0" applyFont="1" applyBorder="1"/>
    <xf numFmtId="0" fontId="31" fillId="0" borderId="62" xfId="0" applyFont="1" applyBorder="1"/>
    <xf numFmtId="0" fontId="31" fillId="0" borderId="63" xfId="0" applyFont="1" applyBorder="1"/>
    <xf numFmtId="0" fontId="23" fillId="0" borderId="13" xfId="0" applyFont="1" applyBorder="1" applyAlignment="1">
      <alignment vertical="top" wrapText="1"/>
    </xf>
    <xf numFmtId="0" fontId="27" fillId="0" borderId="7" xfId="0" applyFont="1" applyBorder="1" applyAlignment="1">
      <alignment vertical="center"/>
    </xf>
    <xf numFmtId="0" fontId="15" fillId="0" borderId="0" xfId="0" applyFont="1" applyProtection="1"/>
    <xf numFmtId="0" fontId="23" fillId="0" borderId="0" xfId="0" applyFont="1" applyBorder="1" applyProtection="1"/>
    <xf numFmtId="0" fontId="23" fillId="0" borderId="0" xfId="0" applyFont="1" applyBorder="1" applyAlignment="1" applyProtection="1"/>
    <xf numFmtId="0" fontId="0" fillId="0" borderId="0" xfId="0" applyBorder="1" applyAlignment="1" applyProtection="1">
      <alignment vertical="top"/>
    </xf>
    <xf numFmtId="0" fontId="0" fillId="0" borderId="0" xfId="0" applyBorder="1" applyAlignment="1" applyProtection="1">
      <alignment vertical="top" wrapText="1"/>
    </xf>
    <xf numFmtId="0" fontId="0" fillId="0" borderId="0" xfId="0" applyBorder="1" applyAlignment="1" applyProtection="1">
      <alignment horizontal="center" vertical="top"/>
    </xf>
    <xf numFmtId="49" fontId="0" fillId="0" borderId="0" xfId="0" applyNumberFormat="1" applyBorder="1" applyProtection="1"/>
    <xf numFmtId="14" fontId="0" fillId="0" borderId="0" xfId="0" applyNumberFormat="1" applyBorder="1" applyAlignment="1" applyProtection="1"/>
    <xf numFmtId="0" fontId="28" fillId="0" borderId="8" xfId="0" applyFont="1" applyFill="1" applyBorder="1" applyAlignment="1" applyProtection="1">
      <alignment vertical="top"/>
    </xf>
    <xf numFmtId="0" fontId="29" fillId="0" borderId="8" xfId="0" applyFont="1" applyFill="1" applyBorder="1" applyAlignment="1" applyProtection="1">
      <alignment vertical="top"/>
    </xf>
    <xf numFmtId="0" fontId="29" fillId="0" borderId="8" xfId="0" applyFont="1" applyFill="1" applyBorder="1" applyAlignment="1" applyProtection="1">
      <alignment vertical="top" wrapText="1"/>
    </xf>
    <xf numFmtId="0" fontId="25" fillId="0" borderId="8" xfId="0" applyFont="1" applyFill="1" applyBorder="1" applyAlignment="1" applyProtection="1">
      <alignment vertical="top" wrapText="1"/>
    </xf>
    <xf numFmtId="0" fontId="29" fillId="0" borderId="8" xfId="0" applyFont="1" applyFill="1" applyBorder="1" applyAlignment="1" applyProtection="1">
      <alignment vertical="center"/>
    </xf>
    <xf numFmtId="0" fontId="29" fillId="0" borderId="0" xfId="0" applyFont="1" applyFill="1" applyBorder="1" applyAlignment="1" applyProtection="1">
      <alignment vertical="center"/>
    </xf>
    <xf numFmtId="0" fontId="25" fillId="0" borderId="0" xfId="0" applyFont="1" applyFill="1" applyBorder="1" applyAlignment="1" applyProtection="1">
      <alignment vertical="center"/>
    </xf>
    <xf numFmtId="0" fontId="29" fillId="0" borderId="0" xfId="0" applyFont="1" applyFill="1" applyBorder="1" applyAlignment="1" applyProtection="1">
      <alignment vertical="top"/>
    </xf>
    <xf numFmtId="14" fontId="25" fillId="0" borderId="0" xfId="0" applyNumberFormat="1" applyFont="1" applyFill="1" applyBorder="1" applyAlignment="1" applyProtection="1">
      <alignment vertical="center"/>
    </xf>
    <xf numFmtId="0" fontId="29" fillId="0" borderId="0" xfId="0" applyFont="1" applyBorder="1" applyAlignment="1" applyProtection="1">
      <alignment horizontal="left" vertical="center"/>
    </xf>
    <xf numFmtId="0" fontId="25" fillId="0" borderId="0" xfId="0" applyFont="1" applyFill="1" applyBorder="1" applyAlignment="1" applyProtection="1">
      <alignment horizontal="left" vertical="center"/>
    </xf>
    <xf numFmtId="0" fontId="28" fillId="0" borderId="0" xfId="0" applyFont="1" applyFill="1" applyBorder="1" applyAlignment="1" applyProtection="1">
      <alignment vertical="top"/>
    </xf>
    <xf numFmtId="0" fontId="25" fillId="0" borderId="0" xfId="0" applyFont="1" applyFill="1" applyBorder="1" applyAlignment="1" applyProtection="1"/>
    <xf numFmtId="0" fontId="27" fillId="0" borderId="0" xfId="0" applyFont="1" applyFill="1" applyBorder="1" applyAlignment="1" applyProtection="1"/>
    <xf numFmtId="0" fontId="25" fillId="0" borderId="0" xfId="0" applyFont="1" applyFill="1" applyBorder="1" applyAlignment="1" applyProtection="1">
      <alignment vertical="top"/>
    </xf>
    <xf numFmtId="0" fontId="24" fillId="0" borderId="0" xfId="0" applyFont="1" applyFill="1" applyBorder="1" applyAlignment="1" applyProtection="1">
      <alignment vertical="center"/>
    </xf>
    <xf numFmtId="0" fontId="34" fillId="0" borderId="0" xfId="0" applyFont="1" applyBorder="1" applyAlignment="1" applyProtection="1">
      <alignment vertical="center"/>
    </xf>
    <xf numFmtId="0" fontId="15" fillId="0" borderId="0" xfId="0" applyFont="1" applyBorder="1" applyAlignment="1">
      <alignment horizontal="left" vertical="center"/>
    </xf>
    <xf numFmtId="0" fontId="15" fillId="0" borderId="9" xfId="0" applyFont="1" applyBorder="1" applyAlignment="1">
      <alignment horizontal="left" vertical="center"/>
    </xf>
    <xf numFmtId="0" fontId="15" fillId="0" borderId="0" xfId="0" applyFont="1" applyBorder="1" applyAlignment="1">
      <alignment horizontal="left" vertical="top"/>
    </xf>
    <xf numFmtId="0" fontId="15" fillId="0" borderId="8" xfId="0" applyFont="1" applyBorder="1" applyAlignment="1">
      <alignment horizontal="center"/>
    </xf>
    <xf numFmtId="0" fontId="15" fillId="0" borderId="0" xfId="0" applyFont="1" applyBorder="1" applyAlignment="1">
      <alignment horizontal="center"/>
    </xf>
    <xf numFmtId="0" fontId="15" fillId="0" borderId="9" xfId="0" applyFont="1" applyBorder="1" applyAlignment="1">
      <alignment horizontal="center"/>
    </xf>
    <xf numFmtId="0" fontId="15" fillId="0" borderId="16" xfId="0" applyFont="1" applyBorder="1" applyAlignment="1">
      <alignment horizontal="left" vertical="top"/>
    </xf>
    <xf numFmtId="0" fontId="15" fillId="0" borderId="13" xfId="0" applyFont="1" applyBorder="1" applyAlignment="1">
      <alignment horizontal="left" vertical="top"/>
    </xf>
    <xf numFmtId="0" fontId="15" fillId="0" borderId="7" xfId="0" applyFont="1" applyBorder="1" applyAlignment="1">
      <alignment horizontal="center" vertical="top"/>
    </xf>
    <xf numFmtId="0" fontId="15" fillId="0" borderId="16" xfId="0" applyFont="1" applyBorder="1" applyAlignment="1">
      <alignment horizontal="center" vertical="center"/>
    </xf>
    <xf numFmtId="0" fontId="15" fillId="0" borderId="0" xfId="0" applyFont="1" applyBorder="1" applyAlignment="1">
      <alignment horizontal="left" vertical="center"/>
    </xf>
    <xf numFmtId="0" fontId="15" fillId="0" borderId="9" xfId="0" applyFont="1" applyBorder="1" applyAlignment="1">
      <alignment horizontal="left" vertical="center"/>
    </xf>
    <xf numFmtId="0" fontId="15" fillId="0" borderId="16" xfId="0" applyFont="1" applyBorder="1" applyAlignment="1">
      <alignment horizontal="left" vertical="top"/>
    </xf>
    <xf numFmtId="0" fontId="15" fillId="0" borderId="13" xfId="0" applyFont="1" applyBorder="1" applyAlignment="1">
      <alignment horizontal="left" vertical="top"/>
    </xf>
    <xf numFmtId="0" fontId="15" fillId="0" borderId="0" xfId="0" applyFont="1" applyBorder="1" applyAlignment="1">
      <alignment horizontal="center"/>
    </xf>
    <xf numFmtId="0" fontId="29" fillId="0" borderId="6" xfId="0" applyFont="1" applyBorder="1" applyAlignment="1">
      <alignment horizontal="left" vertical="center"/>
    </xf>
    <xf numFmtId="0" fontId="29" fillId="0" borderId="7" xfId="0" applyFont="1" applyBorder="1" applyAlignment="1">
      <alignment horizontal="left" vertical="center"/>
    </xf>
    <xf numFmtId="0" fontId="16" fillId="0" borderId="0" xfId="0" applyFont="1" applyFill="1" applyBorder="1" applyAlignment="1">
      <alignment horizontal="center" vertical="center"/>
    </xf>
    <xf numFmtId="0" fontId="16" fillId="0" borderId="9" xfId="0" applyFont="1" applyFill="1" applyBorder="1" applyAlignment="1">
      <alignment horizontal="center" vertical="center"/>
    </xf>
    <xf numFmtId="0" fontId="16" fillId="2" borderId="0" xfId="0" applyFont="1" applyFill="1" applyBorder="1" applyAlignment="1">
      <alignment horizontal="center" vertical="center"/>
    </xf>
    <xf numFmtId="0" fontId="15" fillId="2" borderId="0" xfId="0" applyFont="1" applyFill="1" applyBorder="1" applyAlignment="1">
      <alignment horizontal="left" vertical="top"/>
    </xf>
    <xf numFmtId="0" fontId="15" fillId="2" borderId="0" xfId="0" applyFont="1" applyFill="1" applyBorder="1" applyAlignment="1">
      <alignment horizontal="center" vertical="center"/>
    </xf>
    <xf numFmtId="0" fontId="15" fillId="0" borderId="0" xfId="0" applyFont="1" applyFill="1" applyBorder="1" applyAlignment="1">
      <alignment horizontal="center" vertical="center"/>
    </xf>
    <xf numFmtId="0" fontId="16" fillId="2" borderId="8" xfId="0" applyFont="1" applyFill="1" applyBorder="1" applyAlignment="1">
      <alignment horizontal="center" vertical="center"/>
    </xf>
    <xf numFmtId="0" fontId="34" fillId="2" borderId="0" xfId="0" applyFont="1" applyFill="1" applyBorder="1" applyAlignment="1">
      <alignment horizontal="center" vertical="center"/>
    </xf>
    <xf numFmtId="0" fontId="34" fillId="2" borderId="0" xfId="0" applyFont="1" applyFill="1" applyBorder="1"/>
    <xf numFmtId="0" fontId="15" fillId="2" borderId="0" xfId="0" applyFont="1" applyFill="1" applyBorder="1" applyAlignment="1">
      <alignment horizontal="left" vertical="center"/>
    </xf>
    <xf numFmtId="0" fontId="15" fillId="2" borderId="0" xfId="0" applyFont="1" applyFill="1"/>
    <xf numFmtId="0" fontId="15" fillId="0" borderId="0" xfId="0" applyFont="1" applyFill="1" applyBorder="1" applyAlignment="1">
      <alignment horizontal="right"/>
    </xf>
    <xf numFmtId="0" fontId="15" fillId="2" borderId="0" xfId="0" applyFont="1" applyFill="1" applyBorder="1" applyAlignment="1"/>
    <xf numFmtId="0" fontId="15" fillId="2" borderId="62" xfId="0" applyFont="1" applyFill="1" applyBorder="1" applyAlignment="1">
      <alignment vertical="center"/>
    </xf>
    <xf numFmtId="0" fontId="23" fillId="0" borderId="0" xfId="0" applyFont="1" applyFill="1" applyBorder="1" applyAlignment="1" applyProtection="1">
      <alignment horizontal="left" vertical="center"/>
      <protection locked="0"/>
    </xf>
    <xf numFmtId="0" fontId="15" fillId="2" borderId="7" xfId="0" applyFont="1" applyFill="1" applyBorder="1" applyAlignment="1">
      <alignment horizontal="left" vertical="center"/>
    </xf>
    <xf numFmtId="0" fontId="15" fillId="2" borderId="14" xfId="0" applyFont="1" applyFill="1" applyBorder="1" applyAlignment="1">
      <alignment horizontal="center"/>
    </xf>
    <xf numFmtId="0" fontId="19" fillId="0" borderId="8" xfId="0" applyFont="1" applyBorder="1" applyAlignment="1">
      <alignment horizontal="left" vertical="center"/>
    </xf>
    <xf numFmtId="0" fontId="19" fillId="0" borderId="0" xfId="0" applyFont="1" applyBorder="1" applyAlignment="1">
      <alignment horizontal="left" vertical="center"/>
    </xf>
    <xf numFmtId="0" fontId="19" fillId="2" borderId="0" xfId="0" applyFont="1" applyFill="1" applyBorder="1" applyAlignment="1">
      <alignment horizontal="left" vertical="center"/>
    </xf>
    <xf numFmtId="0" fontId="15" fillId="2" borderId="0" xfId="0" applyFont="1" applyFill="1" applyBorder="1" applyAlignment="1" applyProtection="1">
      <alignment vertical="center"/>
    </xf>
    <xf numFmtId="0" fontId="16" fillId="2" borderId="0" xfId="0" applyFont="1" applyFill="1" applyBorder="1" applyAlignment="1" applyProtection="1">
      <alignment vertical="center"/>
    </xf>
    <xf numFmtId="0" fontId="15" fillId="2" borderId="0" xfId="0" applyFont="1" applyFill="1" applyBorder="1" applyAlignment="1">
      <alignment horizontal="left" vertical="center"/>
    </xf>
    <xf numFmtId="0" fontId="15" fillId="0" borderId="32" xfId="0" applyFont="1" applyBorder="1" applyAlignment="1">
      <alignment horizontal="center" vertical="center" wrapText="1"/>
    </xf>
    <xf numFmtId="0" fontId="15" fillId="2" borderId="63" xfId="0" applyFont="1" applyFill="1" applyBorder="1" applyAlignment="1">
      <alignment horizontal="right"/>
    </xf>
    <xf numFmtId="0" fontId="15" fillId="2" borderId="15" xfId="0" applyFont="1" applyFill="1" applyBorder="1" applyAlignment="1">
      <alignment horizontal="right"/>
    </xf>
    <xf numFmtId="0" fontId="15" fillId="2" borderId="32" xfId="0" applyFont="1" applyFill="1" applyBorder="1" applyAlignment="1">
      <alignment horizontal="center" vertical="center" wrapText="1"/>
    </xf>
    <xf numFmtId="0" fontId="15" fillId="2" borderId="16" xfId="0" applyFont="1" applyFill="1" applyBorder="1" applyAlignment="1">
      <alignment horizontal="center" vertical="center" wrapText="1"/>
    </xf>
    <xf numFmtId="0" fontId="15" fillId="2" borderId="14" xfId="0" applyFont="1" applyFill="1" applyBorder="1" applyAlignment="1">
      <alignment horizontal="center" vertical="center" wrapText="1"/>
    </xf>
    <xf numFmtId="0" fontId="15" fillId="2" borderId="62" xfId="0" applyFont="1" applyFill="1" applyBorder="1" applyAlignment="1">
      <alignment horizontal="left" vertical="center"/>
    </xf>
    <xf numFmtId="0" fontId="15" fillId="2" borderId="67" xfId="0" applyFont="1" applyFill="1" applyBorder="1" applyAlignment="1">
      <alignment horizontal="left" vertical="center"/>
    </xf>
    <xf numFmtId="0" fontId="15" fillId="0" borderId="0" xfId="0" applyFont="1" applyFill="1" applyBorder="1" applyAlignment="1">
      <alignment horizontal="left" vertical="center"/>
    </xf>
    <xf numFmtId="0" fontId="15" fillId="2" borderId="32" xfId="0" applyFont="1" applyFill="1" applyBorder="1" applyAlignment="1">
      <alignment horizontal="center"/>
    </xf>
    <xf numFmtId="0" fontId="15" fillId="2" borderId="9" xfId="0" applyFont="1" applyFill="1" applyBorder="1" applyAlignment="1">
      <alignment horizontal="right"/>
    </xf>
    <xf numFmtId="0" fontId="15" fillId="0" borderId="7" xfId="0" applyFont="1" applyFill="1" applyBorder="1" applyAlignment="1">
      <alignment horizontal="left" vertical="center"/>
    </xf>
    <xf numFmtId="0" fontId="15" fillId="2" borderId="32" xfId="0" applyFont="1" applyFill="1" applyBorder="1" applyAlignment="1">
      <alignment horizontal="left" vertical="center"/>
    </xf>
    <xf numFmtId="0" fontId="15" fillId="2" borderId="14" xfId="0" applyFont="1" applyFill="1" applyBorder="1" applyAlignment="1">
      <alignment horizontal="right"/>
    </xf>
    <xf numFmtId="0" fontId="15" fillId="2" borderId="7" xfId="0" applyFont="1" applyFill="1" applyBorder="1" applyAlignment="1">
      <alignment horizontal="right"/>
    </xf>
    <xf numFmtId="0" fontId="15" fillId="2" borderId="30" xfId="0" applyFont="1" applyFill="1" applyBorder="1" applyAlignment="1">
      <alignment horizontal="left" vertical="center"/>
    </xf>
    <xf numFmtId="0" fontId="15" fillId="2" borderId="67" xfId="0" applyFont="1" applyFill="1" applyBorder="1" applyAlignment="1">
      <alignment horizontal="right"/>
    </xf>
    <xf numFmtId="0" fontId="15" fillId="2" borderId="13" xfId="0" applyFont="1" applyFill="1" applyBorder="1" applyAlignment="1">
      <alignment horizontal="right"/>
    </xf>
    <xf numFmtId="0" fontId="15" fillId="2" borderId="32" xfId="0" applyFont="1" applyFill="1" applyBorder="1" applyAlignment="1">
      <alignment horizontal="right"/>
    </xf>
    <xf numFmtId="0" fontId="15" fillId="2" borderId="16" xfId="0" applyFont="1" applyFill="1" applyBorder="1" applyAlignment="1">
      <alignment horizontal="right"/>
    </xf>
    <xf numFmtId="0" fontId="15" fillId="2" borderId="63" xfId="0" applyFont="1" applyFill="1" applyBorder="1" applyAlignment="1">
      <alignment horizontal="center"/>
    </xf>
    <xf numFmtId="0" fontId="15" fillId="2" borderId="13" xfId="0" applyFont="1" applyFill="1" applyBorder="1" applyAlignment="1">
      <alignment horizontal="center"/>
    </xf>
    <xf numFmtId="0" fontId="15" fillId="2" borderId="15" xfId="0" applyFont="1" applyFill="1" applyBorder="1" applyAlignment="1">
      <alignment horizontal="center"/>
    </xf>
    <xf numFmtId="0" fontId="15" fillId="2" borderId="16" xfId="0" applyFont="1" applyFill="1" applyBorder="1" applyAlignment="1">
      <alignment horizontal="center"/>
    </xf>
    <xf numFmtId="0" fontId="15" fillId="2" borderId="7" xfId="0" applyFont="1" applyFill="1" applyBorder="1" applyAlignment="1">
      <alignment horizontal="center"/>
    </xf>
    <xf numFmtId="0" fontId="15" fillId="2" borderId="16" xfId="0" applyFont="1" applyFill="1" applyBorder="1" applyAlignment="1">
      <alignment horizontal="center" wrapText="1"/>
    </xf>
    <xf numFmtId="0" fontId="15" fillId="2" borderId="14" xfId="0" applyFont="1" applyFill="1" applyBorder="1" applyAlignment="1">
      <alignment horizontal="center" wrapText="1"/>
    </xf>
    <xf numFmtId="0" fontId="15" fillId="2" borderId="30" xfId="0" applyFont="1" applyFill="1" applyBorder="1" applyAlignment="1">
      <alignment horizontal="right"/>
    </xf>
    <xf numFmtId="0" fontId="15" fillId="2" borderId="31" xfId="0" applyFont="1" applyFill="1" applyBorder="1" applyAlignment="1">
      <alignment horizontal="center"/>
    </xf>
    <xf numFmtId="0" fontId="15" fillId="2" borderId="32" xfId="0" applyFont="1" applyFill="1" applyBorder="1" applyAlignment="1">
      <alignment horizontal="center" wrapText="1"/>
    </xf>
    <xf numFmtId="16" fontId="15" fillId="2" borderId="14" xfId="0" applyNumberFormat="1" applyFont="1" applyFill="1" applyBorder="1" applyAlignment="1">
      <alignment horizontal="center" vertical="center" textRotation="180"/>
    </xf>
    <xf numFmtId="0" fontId="15" fillId="2" borderId="62" xfId="0" applyFont="1" applyFill="1" applyBorder="1" applyAlignment="1">
      <alignment horizontal="center"/>
    </xf>
    <xf numFmtId="0" fontId="15" fillId="2" borderId="67" xfId="0" applyFont="1" applyFill="1" applyBorder="1" applyAlignment="1">
      <alignment horizontal="center"/>
    </xf>
    <xf numFmtId="0" fontId="15" fillId="0" borderId="67" xfId="0" applyFont="1" applyBorder="1" applyAlignment="1">
      <alignment horizontal="center" vertical="center" wrapText="1"/>
    </xf>
    <xf numFmtId="0" fontId="15" fillId="2" borderId="30" xfId="0" applyFont="1" applyFill="1" applyBorder="1" applyAlignment="1">
      <alignment horizontal="center"/>
    </xf>
    <xf numFmtId="0" fontId="15" fillId="2" borderId="31" xfId="0" applyFont="1" applyFill="1" applyBorder="1" applyAlignment="1">
      <alignment horizontal="right"/>
    </xf>
    <xf numFmtId="16" fontId="15" fillId="0" borderId="14" xfId="0" quotePrefix="1" applyNumberFormat="1" applyFont="1" applyBorder="1" applyAlignment="1">
      <alignment horizontal="center" vertical="center" textRotation="180"/>
    </xf>
    <xf numFmtId="16" fontId="15" fillId="0" borderId="15" xfId="0" applyNumberFormat="1" applyFont="1" applyBorder="1" applyAlignment="1">
      <alignment horizontal="center" vertical="center" textRotation="180"/>
    </xf>
    <xf numFmtId="16" fontId="15" fillId="2" borderId="16" xfId="0" applyNumberFormat="1" applyFont="1" applyFill="1" applyBorder="1" applyAlignment="1">
      <alignment horizontal="center" vertical="center" textRotation="180"/>
    </xf>
    <xf numFmtId="0" fontId="15" fillId="2" borderId="0" xfId="0" applyFont="1" applyFill="1" applyBorder="1" applyAlignment="1">
      <alignment vertical="center"/>
    </xf>
    <xf numFmtId="16" fontId="15" fillId="2" borderId="32" xfId="0" applyNumberFormat="1" applyFont="1" applyFill="1" applyBorder="1" applyAlignment="1">
      <alignment horizontal="center" vertical="center" textRotation="180"/>
    </xf>
    <xf numFmtId="0" fontId="30" fillId="0" borderId="23" xfId="0" applyFont="1" applyBorder="1" applyAlignment="1">
      <alignment horizontal="center" vertical="center"/>
    </xf>
    <xf numFmtId="0" fontId="27" fillId="0" borderId="0" xfId="0" applyFont="1" applyBorder="1" applyAlignment="1">
      <alignment horizontal="left" vertical="center"/>
    </xf>
    <xf numFmtId="0" fontId="34" fillId="2" borderId="0" xfId="0" applyFont="1" applyFill="1" applyBorder="1" applyAlignment="1">
      <alignment horizontal="right"/>
    </xf>
    <xf numFmtId="1" fontId="15" fillId="2" borderId="16" xfId="0" applyNumberFormat="1" applyFont="1" applyFill="1" applyBorder="1" applyAlignment="1">
      <alignment horizontal="center" vertical="center" textRotation="180"/>
    </xf>
    <xf numFmtId="1" fontId="15" fillId="2" borderId="14" xfId="0" applyNumberFormat="1" applyFont="1" applyFill="1" applyBorder="1" applyAlignment="1">
      <alignment horizontal="center" vertical="center" textRotation="180"/>
    </xf>
    <xf numFmtId="1" fontId="15" fillId="2" borderId="32" xfId="0" applyNumberFormat="1" applyFont="1" applyFill="1" applyBorder="1" applyAlignment="1">
      <alignment horizontal="center" vertical="center" textRotation="180"/>
    </xf>
    <xf numFmtId="1" fontId="15" fillId="2" borderId="56" xfId="0" applyNumberFormat="1" applyFont="1" applyFill="1" applyBorder="1" applyAlignment="1">
      <alignment horizontal="center" vertical="center" textRotation="180"/>
    </xf>
    <xf numFmtId="0" fontId="15" fillId="2" borderId="48" xfId="0" applyFont="1" applyFill="1" applyBorder="1" applyAlignment="1">
      <alignment horizontal="right"/>
    </xf>
    <xf numFmtId="0" fontId="15" fillId="2" borderId="56" xfId="0" applyFont="1" applyFill="1" applyBorder="1" applyAlignment="1">
      <alignment horizontal="right"/>
    </xf>
    <xf numFmtId="0" fontId="15" fillId="2" borderId="4" xfId="0" applyFont="1" applyFill="1" applyBorder="1" applyAlignment="1">
      <alignment horizontal="right"/>
    </xf>
    <xf numFmtId="0" fontId="15" fillId="2" borderId="13" xfId="0" applyFont="1" applyFill="1" applyBorder="1" applyAlignment="1">
      <alignment horizontal="right" vertical="center"/>
    </xf>
    <xf numFmtId="0" fontId="15" fillId="2" borderId="7" xfId="0" applyFont="1" applyFill="1" applyBorder="1" applyAlignment="1">
      <alignment horizontal="right" vertical="center"/>
    </xf>
    <xf numFmtId="0" fontId="34" fillId="0" borderId="0" xfId="0" applyFont="1" applyFill="1" applyBorder="1" applyAlignment="1">
      <alignment horizontal="center" vertical="center"/>
    </xf>
    <xf numFmtId="0" fontId="15" fillId="0" borderId="9" xfId="0" applyFont="1" applyBorder="1" applyAlignment="1">
      <alignment vertical="center"/>
    </xf>
    <xf numFmtId="0" fontId="15" fillId="0" borderId="0" xfId="0" applyFont="1" applyFill="1" applyBorder="1" applyAlignment="1"/>
    <xf numFmtId="0" fontId="15" fillId="0" borderId="7" xfId="0" applyFont="1" applyBorder="1" applyAlignment="1">
      <alignment vertical="center"/>
    </xf>
    <xf numFmtId="0" fontId="19" fillId="2" borderId="6" xfId="0" applyFont="1" applyFill="1" applyBorder="1" applyAlignment="1">
      <alignment vertical="center"/>
    </xf>
    <xf numFmtId="0" fontId="19" fillId="2" borderId="0" xfId="0" applyFont="1" applyFill="1" applyBorder="1" applyAlignment="1">
      <alignment vertical="center"/>
    </xf>
    <xf numFmtId="0" fontId="19" fillId="0" borderId="6" xfId="0" applyFont="1" applyFill="1" applyBorder="1" applyAlignment="1">
      <alignment vertical="center"/>
    </xf>
    <xf numFmtId="0" fontId="19" fillId="0" borderId="0" xfId="0" applyFont="1" applyFill="1" applyBorder="1" applyAlignment="1">
      <alignment vertical="center"/>
    </xf>
    <xf numFmtId="0" fontId="15" fillId="2" borderId="6" xfId="0" applyFont="1" applyFill="1" applyBorder="1" applyAlignment="1">
      <alignment vertical="center"/>
    </xf>
    <xf numFmtId="0" fontId="15" fillId="0" borderId="6" xfId="0" applyFont="1" applyFill="1" applyBorder="1" applyAlignment="1">
      <alignment vertical="center"/>
    </xf>
    <xf numFmtId="0" fontId="15" fillId="2" borderId="13" xfId="0" applyFont="1" applyFill="1" applyBorder="1" applyAlignment="1">
      <alignment vertical="center"/>
    </xf>
    <xf numFmtId="0" fontId="15" fillId="2" borderId="0" xfId="0" applyFont="1" applyFill="1" applyBorder="1" applyAlignment="1" applyProtection="1">
      <protection locked="0"/>
    </xf>
    <xf numFmtId="0" fontId="19" fillId="0" borderId="12" xfId="0" applyFont="1" applyFill="1" applyBorder="1" applyAlignment="1" applyProtection="1">
      <alignment horizontal="center" vertical="center"/>
      <protection locked="0"/>
    </xf>
    <xf numFmtId="0" fontId="29" fillId="0" borderId="1" xfId="0" applyFont="1" applyBorder="1" applyAlignment="1">
      <alignment horizontal="left" vertical="center"/>
    </xf>
    <xf numFmtId="0" fontId="15" fillId="0" borderId="8" xfId="0" applyFont="1" applyFill="1" applyBorder="1"/>
    <xf numFmtId="0" fontId="29" fillId="2" borderId="6" xfId="0" applyFont="1" applyFill="1" applyBorder="1" applyAlignment="1">
      <alignment horizontal="left" vertical="center"/>
    </xf>
    <xf numFmtId="0" fontId="15" fillId="0" borderId="84" xfId="0" applyFont="1" applyFill="1" applyBorder="1"/>
    <xf numFmtId="0" fontId="15" fillId="2" borderId="52" xfId="0" applyFont="1" applyFill="1" applyBorder="1"/>
    <xf numFmtId="0" fontId="15" fillId="0" borderId="85" xfId="0" applyFont="1" applyFill="1" applyBorder="1"/>
    <xf numFmtId="0" fontId="15" fillId="2" borderId="61" xfId="0" applyFont="1" applyFill="1" applyBorder="1"/>
    <xf numFmtId="0" fontId="27" fillId="0" borderId="61" xfId="0" applyFont="1" applyBorder="1" applyAlignment="1">
      <alignment horizontal="left" vertical="center"/>
    </xf>
    <xf numFmtId="0" fontId="27" fillId="0" borderId="52" xfId="0" applyFont="1" applyBorder="1" applyAlignment="1">
      <alignment horizontal="left" vertical="center"/>
    </xf>
    <xf numFmtId="0" fontId="27" fillId="2" borderId="13" xfId="0" applyFont="1" applyFill="1" applyBorder="1" applyAlignment="1" applyProtection="1">
      <alignment horizontal="center" vertical="center"/>
      <protection locked="0"/>
    </xf>
    <xf numFmtId="0" fontId="15" fillId="0" borderId="4" xfId="0" applyFont="1" applyBorder="1"/>
    <xf numFmtId="0" fontId="15" fillId="0" borderId="3" xfId="0" applyFont="1" applyBorder="1"/>
    <xf numFmtId="0" fontId="15" fillId="0" borderId="4" xfId="0" applyFont="1" applyBorder="1" applyProtection="1"/>
    <xf numFmtId="0" fontId="27" fillId="0" borderId="0" xfId="0" applyFont="1" applyFill="1" applyBorder="1" applyAlignment="1" applyProtection="1">
      <alignment vertical="center"/>
    </xf>
    <xf numFmtId="0" fontId="27" fillId="0" borderId="0" xfId="0" applyFont="1" applyBorder="1" applyAlignment="1">
      <alignment horizontal="left" vertical="center"/>
    </xf>
    <xf numFmtId="0" fontId="27" fillId="0" borderId="9" xfId="0" applyFont="1" applyBorder="1" applyAlignment="1">
      <alignment horizontal="left" vertical="center"/>
    </xf>
    <xf numFmtId="0" fontId="27" fillId="0" borderId="7" xfId="0" applyFont="1" applyBorder="1" applyAlignment="1">
      <alignment horizontal="left" vertical="center"/>
    </xf>
    <xf numFmtId="0" fontId="27" fillId="2" borderId="13" xfId="0" applyFont="1" applyFill="1" applyBorder="1" applyAlignment="1" applyProtection="1">
      <alignment horizontal="center" vertical="center"/>
      <protection locked="0"/>
    </xf>
    <xf numFmtId="0" fontId="27" fillId="0" borderId="4" xfId="0" applyFont="1" applyBorder="1" applyAlignment="1">
      <alignment horizontal="left" vertical="center"/>
    </xf>
    <xf numFmtId="14" fontId="15" fillId="0" borderId="0" xfId="0" applyNumberFormat="1" applyFont="1" applyFill="1" applyBorder="1" applyAlignment="1" applyProtection="1">
      <alignment vertical="top"/>
    </xf>
    <xf numFmtId="0" fontId="15" fillId="0" borderId="0" xfId="0" applyFont="1" applyFill="1" applyProtection="1"/>
    <xf numFmtId="0" fontId="15" fillId="0" borderId="0" xfId="0" applyFont="1" applyFill="1" applyBorder="1" applyProtection="1"/>
    <xf numFmtId="0" fontId="15" fillId="0" borderId="0" xfId="0" applyFont="1" applyAlignment="1">
      <alignment horizontal="center"/>
    </xf>
    <xf numFmtId="0" fontId="15" fillId="0" borderId="0" xfId="0" applyFont="1" applyFill="1" applyBorder="1" applyAlignment="1">
      <alignment horizontal="center"/>
    </xf>
    <xf numFmtId="0" fontId="15" fillId="2" borderId="6" xfId="0" applyFont="1" applyFill="1" applyBorder="1"/>
    <xf numFmtId="0" fontId="15" fillId="2" borderId="7" xfId="0" applyFont="1" applyFill="1" applyBorder="1"/>
    <xf numFmtId="0" fontId="27" fillId="0" borderId="0" xfId="0" applyFont="1" applyBorder="1" applyAlignment="1">
      <alignment horizontal="center" vertical="center"/>
    </xf>
    <xf numFmtId="0" fontId="19" fillId="0" borderId="12" xfId="0" applyFont="1" applyFill="1" applyBorder="1" applyAlignment="1">
      <alignment horizontal="center" vertical="center"/>
    </xf>
    <xf numFmtId="0" fontId="34" fillId="0" borderId="0" xfId="0" applyFont="1" applyFill="1" applyBorder="1" applyAlignment="1">
      <alignment horizontal="center"/>
    </xf>
    <xf numFmtId="0" fontId="15" fillId="0" borderId="0" xfId="0" quotePrefix="1" applyFont="1" applyFill="1" applyBorder="1" applyAlignment="1">
      <alignment horizontal="center" vertical="center" wrapText="1"/>
    </xf>
    <xf numFmtId="0" fontId="27" fillId="0" borderId="0" xfId="0" applyFont="1" applyFill="1" applyBorder="1" applyAlignment="1">
      <alignment horizontal="center" vertical="center"/>
    </xf>
    <xf numFmtId="0" fontId="15" fillId="0" borderId="0" xfId="0" quotePrefix="1" applyFont="1" applyFill="1" applyBorder="1" applyAlignment="1">
      <alignment horizontal="center" vertical="center"/>
    </xf>
    <xf numFmtId="0" fontId="43" fillId="0" borderId="0" xfId="0" applyFont="1" applyBorder="1" applyAlignment="1">
      <alignment horizontal="left" vertical="center"/>
    </xf>
    <xf numFmtId="0" fontId="43" fillId="0" borderId="9" xfId="0" applyFont="1" applyBorder="1" applyAlignment="1">
      <alignment horizontal="left" vertical="center"/>
    </xf>
    <xf numFmtId="0" fontId="27" fillId="2" borderId="48" xfId="0" applyFont="1" applyFill="1" applyBorder="1" applyAlignment="1" applyProtection="1">
      <alignment horizontal="center"/>
    </xf>
    <xf numFmtId="0" fontId="15" fillId="2" borderId="1" xfId="0" applyFont="1" applyFill="1" applyBorder="1" applyProtection="1"/>
    <xf numFmtId="0" fontId="15" fillId="2" borderId="6" xfId="0" applyFont="1" applyFill="1" applyBorder="1" applyProtection="1"/>
    <xf numFmtId="0" fontId="15" fillId="2" borderId="8" xfId="0" applyFont="1" applyFill="1" applyBorder="1" applyProtection="1"/>
    <xf numFmtId="0" fontId="15" fillId="2" borderId="0" xfId="0" applyFont="1" applyFill="1" applyBorder="1" applyProtection="1"/>
    <xf numFmtId="0" fontId="43" fillId="0" borderId="0" xfId="0" applyFont="1" applyBorder="1" applyAlignment="1" applyProtection="1">
      <alignment horizontal="left" vertical="center"/>
    </xf>
    <xf numFmtId="0" fontId="43" fillId="0" borderId="9" xfId="0" applyFont="1" applyBorder="1" applyAlignment="1" applyProtection="1">
      <alignment horizontal="left" vertical="center"/>
    </xf>
    <xf numFmtId="0" fontId="15" fillId="2" borderId="3" xfId="0" applyFont="1" applyFill="1" applyBorder="1" applyAlignment="1" applyProtection="1"/>
    <xf numFmtId="0" fontId="15" fillId="2" borderId="7" xfId="0" applyFont="1" applyFill="1" applyBorder="1" applyAlignment="1" applyProtection="1"/>
    <xf numFmtId="0" fontId="15" fillId="0" borderId="7" xfId="0" applyFont="1" applyFill="1" applyBorder="1" applyAlignment="1" applyProtection="1"/>
    <xf numFmtId="0" fontId="15" fillId="0" borderId="4" xfId="0" applyFont="1" applyFill="1" applyBorder="1" applyAlignment="1" applyProtection="1"/>
    <xf numFmtId="0" fontId="29" fillId="0" borderId="23" xfId="0" applyFont="1" applyBorder="1" applyAlignment="1" applyProtection="1">
      <alignment horizontal="right" vertical="center"/>
    </xf>
    <xf numFmtId="0" fontId="27" fillId="2" borderId="32" xfId="0" applyFont="1" applyFill="1" applyBorder="1" applyAlignment="1" applyProtection="1">
      <alignment horizontal="center"/>
    </xf>
    <xf numFmtId="0" fontId="27" fillId="2" borderId="16" xfId="0" applyFont="1" applyFill="1" applyBorder="1" applyAlignment="1" applyProtection="1">
      <alignment horizontal="center"/>
    </xf>
    <xf numFmtId="0" fontId="27" fillId="2" borderId="56" xfId="0" applyFont="1" applyFill="1" applyBorder="1" applyAlignment="1" applyProtection="1">
      <alignment horizontal="center"/>
    </xf>
    <xf numFmtId="0" fontId="27" fillId="2" borderId="62" xfId="0" applyFont="1" applyFill="1" applyBorder="1" applyAlignment="1" applyProtection="1">
      <alignment horizontal="center"/>
    </xf>
    <xf numFmtId="0" fontId="27" fillId="2" borderId="9" xfId="0" applyFont="1" applyFill="1" applyBorder="1" applyAlignment="1" applyProtection="1">
      <alignment horizontal="center"/>
    </xf>
    <xf numFmtId="0" fontId="27" fillId="2" borderId="67" xfId="0" applyFont="1" applyFill="1" applyBorder="1" applyAlignment="1" applyProtection="1">
      <alignment horizontal="center"/>
    </xf>
    <xf numFmtId="0" fontId="27" fillId="2" borderId="13" xfId="0" applyFont="1" applyFill="1" applyBorder="1" applyAlignment="1" applyProtection="1">
      <alignment horizontal="center"/>
    </xf>
    <xf numFmtId="0" fontId="27" fillId="2" borderId="62" xfId="0" applyFont="1" applyFill="1" applyBorder="1" applyAlignment="1" applyProtection="1"/>
    <xf numFmtId="0" fontId="27" fillId="2" borderId="9" xfId="0" applyFont="1" applyFill="1" applyBorder="1" applyAlignment="1" applyProtection="1"/>
    <xf numFmtId="0" fontId="29" fillId="0" borderId="0" xfId="0" applyFont="1" applyFill="1" applyBorder="1" applyAlignment="1" applyProtection="1">
      <alignment vertical="top" wrapText="1"/>
    </xf>
    <xf numFmtId="0" fontId="25" fillId="0" borderId="0" xfId="0" applyFont="1" applyFill="1" applyBorder="1" applyAlignment="1" applyProtection="1">
      <alignment vertical="top" wrapText="1"/>
    </xf>
    <xf numFmtId="0" fontId="15" fillId="0" borderId="7" xfId="0" applyFont="1" applyBorder="1"/>
    <xf numFmtId="0" fontId="0" fillId="0" borderId="0" xfId="0" applyBorder="1"/>
    <xf numFmtId="0" fontId="0" fillId="2" borderId="0" xfId="0" applyFill="1" applyBorder="1"/>
    <xf numFmtId="0" fontId="0" fillId="0" borderId="16" xfId="0" applyBorder="1" applyAlignment="1">
      <alignment wrapText="1"/>
    </xf>
    <xf numFmtId="0" fontId="39" fillId="2" borderId="3" xfId="0" applyFont="1" applyFill="1" applyBorder="1" applyAlignment="1">
      <alignment horizontal="center" vertical="top" wrapText="1"/>
    </xf>
    <xf numFmtId="0" fontId="39" fillId="2" borderId="7" xfId="0" applyFont="1" applyFill="1" applyBorder="1" applyAlignment="1">
      <alignment horizontal="center" vertical="top" wrapText="1"/>
    </xf>
    <xf numFmtId="0" fontId="39" fillId="2" borderId="4" xfId="0" applyFont="1" applyFill="1" applyBorder="1" applyAlignment="1">
      <alignment horizontal="center" vertical="top" wrapText="1"/>
    </xf>
    <xf numFmtId="0" fontId="0" fillId="2" borderId="8" xfId="0" applyFill="1" applyBorder="1" applyAlignment="1">
      <alignment horizontal="center" vertical="top" wrapText="1"/>
    </xf>
    <xf numFmtId="0" fontId="0" fillId="2" borderId="0" xfId="0" applyFill="1" applyBorder="1" applyAlignment="1">
      <alignment horizontal="center" vertical="top" wrapText="1"/>
    </xf>
    <xf numFmtId="0" fontId="0" fillId="2" borderId="9" xfId="0" applyFill="1" applyBorder="1" applyAlignment="1">
      <alignment horizontal="center" vertical="top" wrapText="1"/>
    </xf>
    <xf numFmtId="0" fontId="0" fillId="2" borderId="8" xfId="0" applyFill="1" applyBorder="1"/>
    <xf numFmtId="0" fontId="0" fillId="2" borderId="9" xfId="0" applyFill="1" applyBorder="1"/>
    <xf numFmtId="0" fontId="0" fillId="2" borderId="3" xfId="0" applyFill="1" applyBorder="1"/>
    <xf numFmtId="0" fontId="0" fillId="2" borderId="7" xfId="0" applyFill="1" applyBorder="1"/>
    <xf numFmtId="0" fontId="0" fillId="2" borderId="4" xfId="0" applyFill="1" applyBorder="1"/>
    <xf numFmtId="0" fontId="46" fillId="3" borderId="1" xfId="0" applyFont="1" applyFill="1" applyBorder="1" applyAlignment="1">
      <alignment vertical="top"/>
    </xf>
    <xf numFmtId="0" fontId="46" fillId="3" borderId="8" xfId="0" applyFont="1" applyFill="1" applyBorder="1" applyAlignment="1">
      <alignment vertical="top"/>
    </xf>
    <xf numFmtId="0" fontId="46" fillId="3" borderId="0" xfId="0" applyFont="1" applyFill="1" applyBorder="1" applyAlignment="1">
      <alignment vertical="top"/>
    </xf>
    <xf numFmtId="0" fontId="46" fillId="3" borderId="9" xfId="0" applyFont="1" applyFill="1" applyBorder="1" applyAlignment="1">
      <alignment vertical="top"/>
    </xf>
    <xf numFmtId="0" fontId="46" fillId="3" borderId="3" xfId="0" applyFont="1" applyFill="1" applyBorder="1" applyAlignment="1">
      <alignment vertical="top"/>
    </xf>
    <xf numFmtId="0" fontId="46" fillId="3" borderId="7" xfId="0" applyFont="1" applyFill="1" applyBorder="1" applyAlignment="1">
      <alignment vertical="top"/>
    </xf>
    <xf numFmtId="0" fontId="46" fillId="3" borderId="4" xfId="0" applyFont="1" applyFill="1" applyBorder="1" applyAlignment="1">
      <alignment vertical="top"/>
    </xf>
    <xf numFmtId="0" fontId="44" fillId="0" borderId="1" xfId="0" applyFont="1" applyBorder="1" applyAlignment="1">
      <alignment vertical="top"/>
    </xf>
    <xf numFmtId="0" fontId="27" fillId="2" borderId="13" xfId="0" applyFont="1" applyFill="1" applyBorder="1" applyAlignment="1" applyProtection="1">
      <alignment horizontal="center" vertical="center"/>
      <protection locked="0"/>
    </xf>
    <xf numFmtId="0" fontId="44" fillId="0" borderId="0" xfId="0" applyFont="1" applyBorder="1"/>
    <xf numFmtId="0" fontId="44" fillId="0" borderId="9" xfId="0" applyFont="1" applyBorder="1"/>
    <xf numFmtId="0" fontId="39" fillId="2" borderId="8" xfId="0" applyFont="1" applyFill="1" applyBorder="1" applyAlignment="1">
      <alignment horizontal="center" vertical="top" wrapText="1"/>
    </xf>
    <xf numFmtId="0" fontId="39" fillId="2" borderId="0" xfId="0" applyFont="1" applyFill="1" applyBorder="1" applyAlignment="1">
      <alignment horizontal="center" vertical="top" wrapText="1"/>
    </xf>
    <xf numFmtId="0" fontId="39" fillId="2" borderId="9" xfId="0" applyFont="1" applyFill="1" applyBorder="1" applyAlignment="1">
      <alignment horizontal="center" vertical="top" wrapText="1"/>
    </xf>
    <xf numFmtId="0" fontId="0" fillId="0" borderId="0" xfId="0" applyBorder="1" applyAlignment="1">
      <alignment horizontal="center"/>
    </xf>
    <xf numFmtId="0" fontId="0" fillId="0" borderId="7" xfId="0" applyBorder="1" applyAlignment="1">
      <alignment horizontal="center"/>
    </xf>
    <xf numFmtId="0" fontId="15" fillId="0" borderId="1" xfId="0" applyFont="1" applyBorder="1"/>
    <xf numFmtId="0" fontId="15" fillId="0" borderId="8" xfId="0" applyFont="1" applyBorder="1"/>
    <xf numFmtId="0" fontId="44" fillId="0" borderId="7" xfId="0" applyFont="1" applyBorder="1" applyAlignment="1">
      <alignment vertical="top"/>
    </xf>
    <xf numFmtId="0" fontId="44" fillId="0" borderId="4" xfId="0" applyFont="1" applyBorder="1" applyAlignment="1">
      <alignment vertical="top"/>
    </xf>
    <xf numFmtId="0" fontId="47" fillId="2" borderId="8" xfId="0" applyFont="1" applyFill="1" applyBorder="1" applyAlignment="1">
      <alignment vertical="top" wrapText="1"/>
    </xf>
    <xf numFmtId="0" fontId="47" fillId="2" borderId="0" xfId="0" applyFont="1" applyFill="1" applyBorder="1" applyAlignment="1">
      <alignment vertical="top" wrapText="1"/>
    </xf>
    <xf numFmtId="0" fontId="47" fillId="2" borderId="9" xfId="0" applyFont="1" applyFill="1" applyBorder="1" applyAlignment="1">
      <alignment vertical="top" wrapText="1"/>
    </xf>
    <xf numFmtId="0" fontId="47" fillId="2" borderId="3" xfId="0" applyFont="1" applyFill="1" applyBorder="1" applyAlignment="1">
      <alignment vertical="top" wrapText="1"/>
    </xf>
    <xf numFmtId="0" fontId="47" fillId="2" borderId="7" xfId="0" applyFont="1" applyFill="1" applyBorder="1" applyAlignment="1">
      <alignment vertical="top" wrapText="1"/>
    </xf>
    <xf numFmtId="0" fontId="47" fillId="2" borderId="4" xfId="0" applyFont="1" applyFill="1" applyBorder="1" applyAlignment="1">
      <alignment vertical="top" wrapText="1"/>
    </xf>
    <xf numFmtId="0" fontId="47" fillId="2" borderId="8" xfId="0" applyFont="1" applyFill="1" applyBorder="1" applyAlignment="1">
      <alignment horizontal="center" vertical="top"/>
    </xf>
    <xf numFmtId="0" fontId="47" fillId="2" borderId="0" xfId="0" applyFont="1" applyFill="1" applyBorder="1" applyAlignment="1">
      <alignment horizontal="center" vertical="top"/>
    </xf>
    <xf numFmtId="0" fontId="47" fillId="2" borderId="9" xfId="0" applyFont="1" applyFill="1" applyBorder="1" applyAlignment="1">
      <alignment horizontal="center" vertical="top"/>
    </xf>
    <xf numFmtId="0" fontId="23" fillId="0" borderId="0" xfId="0" applyFont="1"/>
    <xf numFmtId="0" fontId="23" fillId="0" borderId="0" xfId="0" applyFont="1" applyAlignment="1">
      <alignment vertical="top" wrapText="1"/>
    </xf>
    <xf numFmtId="0" fontId="0" fillId="0" borderId="0" xfId="0" applyAlignment="1">
      <alignment horizontal="left" vertical="top" wrapText="1"/>
    </xf>
    <xf numFmtId="0" fontId="3" fillId="2" borderId="8" xfId="0" applyFont="1" applyFill="1" applyBorder="1" applyAlignment="1">
      <alignment vertical="top" wrapText="1"/>
    </xf>
    <xf numFmtId="0" fontId="3" fillId="2" borderId="0" xfId="0" applyFont="1" applyFill="1" applyBorder="1" applyAlignment="1">
      <alignment vertical="top" wrapText="1"/>
    </xf>
    <xf numFmtId="0" fontId="3" fillId="2" borderId="9" xfId="0" applyFont="1" applyFill="1" applyBorder="1" applyAlignment="1">
      <alignment vertical="top" wrapText="1"/>
    </xf>
    <xf numFmtId="0" fontId="3" fillId="2" borderId="8" xfId="0" applyFont="1" applyFill="1" applyBorder="1"/>
    <xf numFmtId="0" fontId="3" fillId="2" borderId="0" xfId="0" applyFont="1" applyFill="1" applyBorder="1"/>
    <xf numFmtId="0" fontId="3" fillId="2" borderId="9" xfId="0" applyFont="1" applyFill="1" applyBorder="1"/>
    <xf numFmtId="0" fontId="3" fillId="2" borderId="3" xfId="0" applyFont="1" applyFill="1" applyBorder="1"/>
    <xf numFmtId="0" fontId="3" fillId="2" borderId="7" xfId="0" applyFont="1" applyFill="1" applyBorder="1"/>
    <xf numFmtId="0" fontId="3" fillId="2" borderId="4" xfId="0" applyFont="1" applyFill="1" applyBorder="1"/>
    <xf numFmtId="0" fontId="0" fillId="2" borderId="8" xfId="0" applyFill="1" applyBorder="1" applyAlignment="1">
      <alignment vertical="top" wrapText="1"/>
    </xf>
    <xf numFmtId="0" fontId="0" fillId="2" borderId="0" xfId="0" applyFill="1" applyBorder="1" applyAlignment="1">
      <alignment vertical="top" wrapText="1"/>
    </xf>
    <xf numFmtId="0" fontId="0" fillId="2" borderId="9" xfId="0" applyFill="1" applyBorder="1" applyAlignment="1">
      <alignment vertical="top" wrapText="1"/>
    </xf>
    <xf numFmtId="49" fontId="15" fillId="0" borderId="0" xfId="0" applyNumberFormat="1" applyFont="1" applyAlignment="1">
      <alignment horizontal="left" vertical="center"/>
    </xf>
    <xf numFmtId="0" fontId="27" fillId="2" borderId="13" xfId="0" applyFont="1" applyFill="1" applyBorder="1" applyAlignment="1" applyProtection="1">
      <alignment horizontal="center" vertical="center"/>
      <protection locked="0"/>
    </xf>
    <xf numFmtId="0" fontId="0" fillId="0" borderId="0" xfId="0" applyBorder="1" applyAlignment="1">
      <alignment horizontal="center"/>
    </xf>
    <xf numFmtId="0" fontId="0" fillId="0" borderId="7" xfId="0" applyBorder="1" applyAlignment="1">
      <alignment horizontal="center"/>
    </xf>
    <xf numFmtId="0" fontId="39" fillId="2" borderId="8" xfId="0" applyFont="1" applyFill="1" applyBorder="1" applyAlignment="1">
      <alignment horizontal="center" vertical="top" wrapText="1"/>
    </xf>
    <xf numFmtId="0" fontId="39" fillId="2" borderId="0" xfId="0" applyFont="1" applyFill="1" applyBorder="1" applyAlignment="1">
      <alignment horizontal="center" vertical="top" wrapText="1"/>
    </xf>
    <xf numFmtId="0" fontId="39" fillId="2" borderId="9" xfId="0" applyFont="1" applyFill="1" applyBorder="1" applyAlignment="1">
      <alignment horizontal="center" vertical="top" wrapText="1"/>
    </xf>
    <xf numFmtId="0" fontId="15" fillId="0" borderId="0" xfId="0" applyFont="1" applyBorder="1"/>
    <xf numFmtId="0" fontId="47" fillId="2" borderId="8" xfId="0" applyFont="1" applyFill="1" applyBorder="1" applyAlignment="1">
      <alignment horizontal="center" vertical="top"/>
    </xf>
    <xf numFmtId="0" fontId="47" fillId="2" borderId="0" xfId="0" applyFont="1" applyFill="1" applyBorder="1" applyAlignment="1">
      <alignment horizontal="center" vertical="top"/>
    </xf>
    <xf numFmtId="0" fontId="47" fillId="2" borderId="9" xfId="0" applyFont="1" applyFill="1" applyBorder="1" applyAlignment="1">
      <alignment horizontal="center" vertical="top"/>
    </xf>
    <xf numFmtId="0" fontId="44" fillId="0" borderId="0" xfId="0" applyFont="1" applyBorder="1" applyAlignment="1">
      <alignment vertical="top" wrapText="1"/>
    </xf>
    <xf numFmtId="0" fontId="44" fillId="0" borderId="9" xfId="0" applyFont="1" applyBorder="1" applyAlignment="1">
      <alignment vertical="top" wrapText="1"/>
    </xf>
    <xf numFmtId="0" fontId="15" fillId="0" borderId="0" xfId="0" applyFont="1" applyBorder="1"/>
    <xf numFmtId="0" fontId="15" fillId="2" borderId="3" xfId="0" applyFont="1" applyFill="1" applyBorder="1" applyProtection="1"/>
    <xf numFmtId="0" fontId="15" fillId="2" borderId="7" xfId="0" applyFont="1" applyFill="1" applyBorder="1" applyProtection="1"/>
    <xf numFmtId="0" fontId="27" fillId="0" borderId="7" xfId="0" applyFont="1" applyBorder="1" applyAlignment="1" applyProtection="1">
      <alignment horizontal="left" vertical="center"/>
    </xf>
    <xf numFmtId="0" fontId="27" fillId="0" borderId="4" xfId="0" applyFont="1" applyBorder="1" applyAlignment="1" applyProtection="1">
      <alignment horizontal="left" vertical="center"/>
    </xf>
    <xf numFmtId="0" fontId="27" fillId="0" borderId="7" xfId="0" applyFont="1" applyBorder="1" applyAlignment="1" applyProtection="1">
      <alignment vertical="center"/>
    </xf>
    <xf numFmtId="0" fontId="25" fillId="0" borderId="0" xfId="0" applyFont="1" applyBorder="1" applyAlignment="1">
      <alignment horizontal="left" vertical="center"/>
    </xf>
    <xf numFmtId="0" fontId="25" fillId="0" borderId="9" xfId="0" applyFont="1" applyBorder="1" applyAlignment="1">
      <alignment horizontal="left" vertical="center"/>
    </xf>
    <xf numFmtId="0" fontId="15" fillId="0" borderId="13" xfId="0" applyFont="1" applyBorder="1"/>
    <xf numFmtId="0" fontId="15" fillId="0" borderId="63" xfId="0" applyFont="1" applyBorder="1"/>
    <xf numFmtId="0" fontId="15" fillId="0" borderId="62" xfId="0" applyFont="1" applyBorder="1"/>
    <xf numFmtId="0" fontId="15" fillId="0" borderId="67" xfId="0" applyFont="1" applyBorder="1"/>
    <xf numFmtId="0" fontId="15" fillId="0" borderId="15" xfId="0" applyFont="1" applyBorder="1"/>
    <xf numFmtId="0" fontId="15" fillId="0" borderId="8" xfId="0" applyFont="1" applyBorder="1" applyProtection="1"/>
    <xf numFmtId="0" fontId="15" fillId="0" borderId="9" xfId="0" applyFont="1" applyBorder="1" applyProtection="1"/>
    <xf numFmtId="0" fontId="15" fillId="0" borderId="13" xfId="0" applyFont="1" applyBorder="1" applyAlignment="1">
      <alignment vertical="top" wrapText="1"/>
    </xf>
    <xf numFmtId="0" fontId="15" fillId="0" borderId="67" xfId="0" applyFont="1" applyBorder="1" applyAlignment="1">
      <alignment vertical="top" wrapText="1"/>
    </xf>
    <xf numFmtId="0" fontId="15" fillId="0" borderId="15" xfId="0" applyFont="1" applyBorder="1" applyAlignment="1">
      <alignment vertical="top" wrapText="1"/>
    </xf>
    <xf numFmtId="0" fontId="15" fillId="0" borderId="65" xfId="0" applyFont="1" applyBorder="1"/>
    <xf numFmtId="166" fontId="54" fillId="0" borderId="0" xfId="0" applyNumberFormat="1" applyFont="1" applyBorder="1" applyAlignment="1" applyProtection="1">
      <alignment horizontal="left" vertical="top" wrapText="1"/>
    </xf>
    <xf numFmtId="0" fontId="53" fillId="0" borderId="0" xfId="0" applyFont="1" applyBorder="1" applyAlignment="1" applyProtection="1">
      <alignment horizontal="right" vertical="center" wrapText="1"/>
    </xf>
    <xf numFmtId="165" fontId="54" fillId="0" borderId="0" xfId="0" applyNumberFormat="1" applyFont="1" applyBorder="1" applyAlignment="1" applyProtection="1">
      <alignment horizontal="center" vertical="center"/>
    </xf>
    <xf numFmtId="0" fontId="53" fillId="0" borderId="0" xfId="0" applyFont="1" applyBorder="1" applyAlignment="1" applyProtection="1">
      <alignment horizontal="left" vertical="center" wrapText="1"/>
    </xf>
    <xf numFmtId="0" fontId="53" fillId="0" borderId="0" xfId="0" applyFont="1" applyBorder="1" applyAlignment="1" applyProtection="1">
      <alignment horizontal="center" vertical="center"/>
    </xf>
    <xf numFmtId="165" fontId="54" fillId="0" borderId="0" xfId="0" applyNumberFormat="1" applyFont="1" applyBorder="1" applyAlignment="1" applyProtection="1">
      <alignment vertical="center"/>
    </xf>
    <xf numFmtId="0" fontId="54" fillId="0" borderId="0" xfId="0" applyFont="1" applyBorder="1" applyAlignment="1" applyProtection="1">
      <alignment horizontal="center" vertical="center" wrapText="1"/>
    </xf>
    <xf numFmtId="0" fontId="0" fillId="0" borderId="0" xfId="0" quotePrefix="1" applyFill="1" applyBorder="1" applyAlignment="1">
      <alignment vertical="top" wrapText="1"/>
    </xf>
    <xf numFmtId="0" fontId="0" fillId="0" borderId="0" xfId="0" quotePrefix="1" applyFill="1" applyBorder="1" applyAlignment="1">
      <alignment vertical="center" wrapText="1"/>
    </xf>
    <xf numFmtId="0" fontId="0" fillId="0" borderId="0" xfId="0" applyAlignment="1">
      <alignment vertical="center" wrapText="1"/>
    </xf>
    <xf numFmtId="0" fontId="15" fillId="0" borderId="16" xfId="0" applyFont="1" applyBorder="1" applyProtection="1"/>
    <xf numFmtId="0" fontId="27" fillId="0" borderId="0" xfId="0" applyFont="1" applyBorder="1" applyAlignment="1">
      <alignment horizontal="left" vertical="center"/>
    </xf>
    <xf numFmtId="0" fontId="29" fillId="0" borderId="8" xfId="0" applyFont="1" applyBorder="1" applyAlignment="1">
      <alignment horizontal="left" vertical="center"/>
    </xf>
    <xf numFmtId="0" fontId="29" fillId="0" borderId="0" xfId="0" applyFont="1" applyBorder="1" applyAlignment="1">
      <alignment horizontal="left" vertical="center"/>
    </xf>
    <xf numFmtId="0" fontId="27" fillId="2" borderId="13" xfId="0" applyFont="1" applyFill="1" applyBorder="1" applyAlignment="1" applyProtection="1">
      <alignment horizontal="center" vertical="center"/>
      <protection locked="0"/>
    </xf>
    <xf numFmtId="0" fontId="27" fillId="0" borderId="0" xfId="0" applyFont="1" applyBorder="1" applyAlignment="1" applyProtection="1">
      <alignment horizontal="left" vertical="center"/>
    </xf>
    <xf numFmtId="0" fontId="27" fillId="0" borderId="9" xfId="0" applyFont="1" applyBorder="1" applyAlignment="1" applyProtection="1">
      <alignment horizontal="left" vertical="center"/>
    </xf>
    <xf numFmtId="0" fontId="25" fillId="0" borderId="0" xfId="0" applyFont="1" applyBorder="1" applyAlignment="1" applyProtection="1">
      <alignment horizontal="left" vertical="center"/>
    </xf>
    <xf numFmtId="0" fontId="29" fillId="0" borderId="0" xfId="0" applyFont="1" applyBorder="1" applyAlignment="1" applyProtection="1">
      <alignment horizontal="left" vertical="center"/>
    </xf>
    <xf numFmtId="0" fontId="25" fillId="0" borderId="0" xfId="0" applyFont="1" applyBorder="1" applyAlignment="1">
      <alignment horizontal="left" vertical="center"/>
    </xf>
    <xf numFmtId="0" fontId="25" fillId="0" borderId="9" xfId="0" applyFont="1" applyBorder="1" applyAlignment="1">
      <alignment horizontal="left" vertical="center"/>
    </xf>
    <xf numFmtId="0" fontId="15" fillId="0" borderId="0" xfId="0" applyFont="1" applyBorder="1"/>
    <xf numFmtId="0" fontId="53" fillId="0" borderId="0" xfId="0" applyFont="1" applyBorder="1" applyAlignment="1" applyProtection="1">
      <alignment vertical="center"/>
    </xf>
    <xf numFmtId="0" fontId="54" fillId="0" borderId="0" xfId="0" applyFont="1" applyBorder="1" applyAlignment="1" applyProtection="1">
      <alignment vertical="center"/>
    </xf>
    <xf numFmtId="0" fontId="15" fillId="0" borderId="0" xfId="0" applyFont="1" applyFill="1" applyBorder="1" applyAlignment="1" applyProtection="1">
      <alignment vertical="center"/>
    </xf>
    <xf numFmtId="0" fontId="15" fillId="0" borderId="9" xfId="0" applyFont="1" applyFill="1" applyBorder="1" applyAlignment="1" applyProtection="1">
      <alignment vertical="center"/>
    </xf>
    <xf numFmtId="0" fontId="28" fillId="0" borderId="8" xfId="0" applyFont="1" applyBorder="1" applyAlignment="1">
      <alignment horizontal="left" vertical="top"/>
    </xf>
    <xf numFmtId="0" fontId="28" fillId="0" borderId="0" xfId="0" applyFont="1" applyBorder="1" applyAlignment="1">
      <alignment horizontal="left" vertical="top"/>
    </xf>
    <xf numFmtId="0" fontId="28" fillId="0" borderId="9" xfId="0" applyFont="1" applyBorder="1" applyAlignment="1">
      <alignment horizontal="left" vertical="top"/>
    </xf>
    <xf numFmtId="0" fontId="27" fillId="2" borderId="0" xfId="0" applyNumberFormat="1" applyFont="1" applyFill="1" applyBorder="1" applyAlignment="1" applyProtection="1">
      <alignment vertical="center"/>
    </xf>
    <xf numFmtId="0" fontId="15" fillId="0" borderId="3" xfId="0" applyFont="1" applyBorder="1" applyProtection="1"/>
    <xf numFmtId="0" fontId="33" fillId="0" borderId="12"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12" xfId="0" applyFont="1" applyFill="1" applyBorder="1" applyAlignment="1" applyProtection="1">
      <alignment horizontal="center" vertical="center"/>
    </xf>
    <xf numFmtId="0" fontId="44" fillId="0" borderId="6" xfId="0" applyFont="1" applyBorder="1" applyAlignment="1">
      <alignment vertical="top"/>
    </xf>
    <xf numFmtId="0" fontId="47" fillId="0" borderId="6" xfId="0" applyFont="1" applyBorder="1" applyAlignment="1">
      <alignment vertical="top" wrapText="1"/>
    </xf>
    <xf numFmtId="0" fontId="4" fillId="0" borderId="0" xfId="0" applyFont="1" applyBorder="1"/>
    <xf numFmtId="0" fontId="3" fillId="0" borderId="7" xfId="0" applyFont="1" applyBorder="1"/>
    <xf numFmtId="0" fontId="0" fillId="2" borderId="0" xfId="0" applyFill="1" applyBorder="1" applyAlignment="1">
      <alignment horizontal="left" vertical="top"/>
    </xf>
    <xf numFmtId="0" fontId="15" fillId="0" borderId="6" xfId="0" applyFont="1" applyBorder="1"/>
    <xf numFmtId="0" fontId="28" fillId="0" borderId="9" xfId="0" applyFont="1" applyFill="1" applyBorder="1" applyAlignment="1" applyProtection="1">
      <alignment vertical="top"/>
    </xf>
    <xf numFmtId="0" fontId="35" fillId="0" borderId="10" xfId="0" applyFont="1" applyBorder="1" applyAlignment="1" applyProtection="1">
      <alignment horizontal="center" vertical="center" wrapText="1"/>
    </xf>
    <xf numFmtId="0" fontId="35" fillId="0" borderId="11" xfId="0" applyFont="1" applyBorder="1" applyAlignment="1" applyProtection="1">
      <alignment horizontal="center" vertical="center" wrapText="1"/>
    </xf>
    <xf numFmtId="0" fontId="35" fillId="0" borderId="5" xfId="0" applyFont="1" applyBorder="1" applyAlignment="1" applyProtection="1">
      <alignment horizontal="center" vertical="center" wrapText="1"/>
    </xf>
    <xf numFmtId="49" fontId="53" fillId="0" borderId="0" xfId="0" applyNumberFormat="1" applyFont="1" applyFill="1" applyBorder="1" applyAlignment="1" applyProtection="1">
      <alignment vertical="center" wrapText="1"/>
    </xf>
    <xf numFmtId="0" fontId="51" fillId="0" borderId="0" xfId="0" applyFont="1" applyBorder="1" applyAlignment="1" applyProtection="1">
      <alignment horizontal="right" vertical="center"/>
    </xf>
    <xf numFmtId="49" fontId="53" fillId="0" borderId="9" xfId="0" applyNumberFormat="1" applyFont="1" applyFill="1" applyBorder="1" applyAlignment="1" applyProtection="1">
      <alignment vertical="center" wrapText="1"/>
    </xf>
    <xf numFmtId="0" fontId="56" fillId="0" borderId="8" xfId="0" applyFont="1" applyFill="1" applyBorder="1" applyAlignment="1" applyProtection="1">
      <alignment vertical="center"/>
    </xf>
    <xf numFmtId="0" fontId="54" fillId="0" borderId="8" xfId="0" applyFont="1" applyFill="1" applyBorder="1" applyAlignment="1" applyProtection="1">
      <alignment vertical="center"/>
    </xf>
    <xf numFmtId="0" fontId="47" fillId="2" borderId="8" xfId="0" applyFont="1" applyFill="1" applyBorder="1" applyAlignment="1">
      <alignment vertical="top"/>
    </xf>
    <xf numFmtId="0" fontId="47" fillId="2" borderId="0" xfId="0" applyFont="1" applyFill="1" applyBorder="1" applyAlignment="1">
      <alignment vertical="top"/>
    </xf>
    <xf numFmtId="0" fontId="47" fillId="2" borderId="9" xfId="0" applyFont="1" applyFill="1" applyBorder="1" applyAlignment="1">
      <alignment vertical="top"/>
    </xf>
    <xf numFmtId="0" fontId="39" fillId="2" borderId="8" xfId="0" applyFont="1" applyFill="1" applyBorder="1" applyAlignment="1">
      <alignment vertical="top" wrapText="1"/>
    </xf>
    <xf numFmtId="0" fontId="39" fillId="2" borderId="0" xfId="0" applyFont="1" applyFill="1" applyBorder="1" applyAlignment="1">
      <alignment vertical="top" wrapText="1"/>
    </xf>
    <xf numFmtId="0" fontId="39" fillId="2" borderId="9" xfId="0" applyFont="1" applyFill="1" applyBorder="1" applyAlignment="1">
      <alignment vertical="top" wrapText="1"/>
    </xf>
    <xf numFmtId="0" fontId="44" fillId="0" borderId="0" xfId="0" applyFont="1" applyBorder="1" applyAlignment="1">
      <alignment horizontal="left" vertical="top"/>
    </xf>
    <xf numFmtId="0" fontId="44" fillId="0" borderId="9" xfId="0" applyFont="1" applyBorder="1" applyAlignment="1">
      <alignment horizontal="left" vertical="top"/>
    </xf>
    <xf numFmtId="0" fontId="59" fillId="2" borderId="8" xfId="0" applyFont="1" applyFill="1" applyBorder="1" applyAlignment="1">
      <alignment horizontal="center" vertical="top" wrapText="1"/>
    </xf>
    <xf numFmtId="0" fontId="59" fillId="2" borderId="0" xfId="0" applyFont="1" applyFill="1" applyBorder="1" applyAlignment="1">
      <alignment horizontal="center" vertical="top" wrapText="1"/>
    </xf>
    <xf numFmtId="0" fontId="59" fillId="2" borderId="9" xfId="0" applyFont="1" applyFill="1" applyBorder="1" applyAlignment="1">
      <alignment horizontal="center" vertical="top" wrapText="1"/>
    </xf>
    <xf numFmtId="0" fontId="59" fillId="2" borderId="0" xfId="0" applyFont="1" applyFill="1" applyBorder="1" applyAlignment="1">
      <alignment vertical="top" wrapText="1"/>
    </xf>
    <xf numFmtId="0" fontId="59" fillId="2" borderId="9" xfId="0" applyFont="1" applyFill="1" applyBorder="1" applyAlignment="1">
      <alignment vertical="top" wrapText="1"/>
    </xf>
    <xf numFmtId="0" fontId="15" fillId="0" borderId="56" xfId="0" applyFont="1" applyBorder="1" applyProtection="1"/>
    <xf numFmtId="165" fontId="53" fillId="0" borderId="16" xfId="0" applyNumberFormat="1" applyFont="1" applyBorder="1" applyAlignment="1" applyProtection="1">
      <alignment vertical="center"/>
    </xf>
    <xf numFmtId="3" fontId="53" fillId="0" borderId="16" xfId="0" applyNumberFormat="1" applyFont="1" applyBorder="1" applyAlignment="1" applyProtection="1">
      <alignment vertical="center"/>
    </xf>
    <xf numFmtId="14" fontId="53" fillId="0" borderId="16" xfId="0" applyNumberFormat="1" applyFont="1" applyBorder="1" applyAlignment="1" applyProtection="1">
      <alignment horizontal="center" vertical="center"/>
    </xf>
    <xf numFmtId="0" fontId="53" fillId="0" borderId="16" xfId="0" applyFont="1" applyBorder="1" applyAlignment="1" applyProtection="1">
      <alignment vertical="center"/>
    </xf>
    <xf numFmtId="0" fontId="53" fillId="0" borderId="16" xfId="0" applyFont="1" applyBorder="1" applyAlignment="1" applyProtection="1">
      <alignment horizontal="center" vertical="center"/>
    </xf>
    <xf numFmtId="0" fontId="54" fillId="0" borderId="16" xfId="0" applyFont="1" applyBorder="1" applyAlignment="1" applyProtection="1">
      <alignment vertical="center"/>
    </xf>
    <xf numFmtId="169" fontId="54" fillId="0" borderId="0" xfId="0" applyNumberFormat="1" applyFont="1" applyBorder="1" applyAlignment="1" applyProtection="1">
      <alignment horizontal="center" vertical="center" wrapText="1"/>
    </xf>
    <xf numFmtId="0" fontId="27" fillId="2" borderId="13" xfId="0" applyFont="1" applyFill="1" applyBorder="1" applyAlignment="1" applyProtection="1">
      <alignment horizontal="center" vertical="center"/>
      <protection locked="0"/>
    </xf>
    <xf numFmtId="0" fontId="43" fillId="0" borderId="0" xfId="0" applyFont="1" applyBorder="1" applyAlignment="1" applyProtection="1">
      <alignment horizontal="left" vertical="center"/>
    </xf>
    <xf numFmtId="0" fontId="43" fillId="0" borderId="9" xfId="0" applyFont="1" applyBorder="1" applyAlignment="1" applyProtection="1">
      <alignment horizontal="left" vertical="center"/>
    </xf>
    <xf numFmtId="0" fontId="23" fillId="0" borderId="16" xfId="0" applyFont="1" applyFill="1" applyBorder="1" applyAlignment="1" applyProtection="1">
      <alignment vertical="center"/>
    </xf>
    <xf numFmtId="0" fontId="23" fillId="0" borderId="56" xfId="0" applyFont="1" applyFill="1" applyBorder="1" applyAlignment="1" applyProtection="1">
      <alignment vertical="center"/>
    </xf>
    <xf numFmtId="0" fontId="23" fillId="0" borderId="13" xfId="0" applyFont="1" applyFill="1" applyBorder="1" applyAlignment="1" applyProtection="1">
      <alignment vertical="center"/>
    </xf>
    <xf numFmtId="0" fontId="23" fillId="0" borderId="48" xfId="0" applyFont="1" applyFill="1" applyBorder="1" applyAlignment="1" applyProtection="1">
      <alignment vertical="center"/>
    </xf>
    <xf numFmtId="0" fontId="33" fillId="2" borderId="0" xfId="0" applyFont="1" applyFill="1" applyBorder="1" applyAlignment="1">
      <alignment horizontal="center" vertical="center"/>
    </xf>
    <xf numFmtId="0" fontId="25" fillId="2" borderId="0" xfId="0" applyFont="1" applyFill="1" applyBorder="1"/>
    <xf numFmtId="0" fontId="21" fillId="0" borderId="12" xfId="0" applyFont="1" applyFill="1" applyBorder="1" applyAlignment="1" applyProtection="1">
      <alignment horizontal="center" vertical="center"/>
      <protection locked="0"/>
    </xf>
    <xf numFmtId="0" fontId="21" fillId="2" borderId="0" xfId="0" applyFont="1" applyFill="1" applyBorder="1" applyAlignment="1">
      <alignment horizontal="center" vertical="center"/>
    </xf>
    <xf numFmtId="0" fontId="27" fillId="2" borderId="0" xfId="0" applyFont="1" applyFill="1" applyBorder="1" applyAlignment="1">
      <alignment horizontal="center" vertical="center"/>
    </xf>
    <xf numFmtId="0" fontId="27" fillId="2" borderId="0" xfId="0" applyFont="1" applyFill="1" applyBorder="1"/>
    <xf numFmtId="0" fontId="25" fillId="2" borderId="0" xfId="0" applyFont="1" applyFill="1" applyBorder="1" applyAlignment="1">
      <alignment horizontal="center" vertical="center"/>
    </xf>
    <xf numFmtId="0" fontId="25" fillId="2" borderId="0" xfId="0" applyFont="1" applyFill="1" applyBorder="1" applyAlignment="1">
      <alignment horizontal="left" vertical="center"/>
    </xf>
    <xf numFmtId="0" fontId="33" fillId="0" borderId="12" xfId="0" applyFont="1" applyBorder="1" applyAlignment="1" applyProtection="1">
      <alignment horizontal="center" vertical="center"/>
      <protection locked="0"/>
    </xf>
    <xf numFmtId="0" fontId="25" fillId="2" borderId="0" xfId="0" applyFont="1" applyFill="1" applyBorder="1" applyAlignment="1" applyProtection="1">
      <alignment vertical="center"/>
    </xf>
    <xf numFmtId="0" fontId="33" fillId="0" borderId="63" xfId="0" applyFont="1" applyFill="1" applyBorder="1" applyAlignment="1">
      <alignment horizontal="center"/>
    </xf>
    <xf numFmtId="0" fontId="33" fillId="2" borderId="0" xfId="0" applyFont="1" applyFill="1" applyBorder="1" applyAlignment="1">
      <alignment horizontal="right"/>
    </xf>
    <xf numFmtId="0" fontId="33" fillId="2" borderId="63" xfId="0" applyFont="1" applyFill="1" applyBorder="1" applyAlignment="1">
      <alignment horizontal="right"/>
    </xf>
    <xf numFmtId="0" fontId="33" fillId="2" borderId="62" xfId="0" applyFont="1" applyFill="1" applyBorder="1" applyAlignment="1">
      <alignment horizontal="right"/>
    </xf>
    <xf numFmtId="0" fontId="33" fillId="2" borderId="63" xfId="0" applyFont="1" applyFill="1" applyBorder="1" applyAlignment="1">
      <alignment horizontal="right" vertical="center"/>
    </xf>
    <xf numFmtId="0" fontId="33" fillId="2" borderId="62" xfId="0" applyFont="1" applyFill="1" applyBorder="1" applyAlignment="1">
      <alignment horizontal="right" vertical="center"/>
    </xf>
    <xf numFmtId="0" fontId="33" fillId="0" borderId="63" xfId="0" applyFont="1" applyFill="1" applyBorder="1" applyAlignment="1">
      <alignment horizontal="center" vertical="center"/>
    </xf>
    <xf numFmtId="0" fontId="33" fillId="2" borderId="13" xfId="0" applyFont="1" applyFill="1" applyBorder="1" applyAlignment="1">
      <alignment horizontal="left" vertical="center"/>
    </xf>
    <xf numFmtId="0" fontId="33" fillId="2" borderId="15" xfId="0" applyFont="1" applyFill="1" applyBorder="1" applyAlignment="1">
      <alignment horizontal="right"/>
    </xf>
    <xf numFmtId="0" fontId="33" fillId="2" borderId="67" xfId="0" applyFont="1" applyFill="1" applyBorder="1" applyAlignment="1">
      <alignment horizontal="right"/>
    </xf>
    <xf numFmtId="0" fontId="33" fillId="2" borderId="13" xfId="0" applyFont="1" applyFill="1" applyBorder="1" applyAlignment="1">
      <alignment horizontal="right"/>
    </xf>
    <xf numFmtId="0" fontId="33" fillId="2" borderId="13" xfId="0" applyFont="1" applyFill="1" applyBorder="1" applyAlignment="1">
      <alignment horizontal="center"/>
    </xf>
    <xf numFmtId="0" fontId="33" fillId="2" borderId="16" xfId="0" applyFont="1" applyFill="1" applyBorder="1" applyAlignment="1">
      <alignment horizontal="left" vertical="center"/>
    </xf>
    <xf numFmtId="0" fontId="33" fillId="2" borderId="14" xfId="0" applyFont="1" applyFill="1" applyBorder="1" applyAlignment="1">
      <alignment horizontal="right"/>
    </xf>
    <xf numFmtId="0" fontId="33" fillId="2" borderId="32" xfId="0" applyFont="1" applyFill="1" applyBorder="1" applyAlignment="1">
      <alignment horizontal="right"/>
    </xf>
    <xf numFmtId="0" fontId="33" fillId="2" borderId="16" xfId="0" applyFont="1" applyFill="1" applyBorder="1" applyAlignment="1">
      <alignment horizontal="right"/>
    </xf>
    <xf numFmtId="0" fontId="33" fillId="2" borderId="16" xfId="0" applyFont="1" applyFill="1" applyBorder="1" applyAlignment="1">
      <alignment horizontal="center"/>
    </xf>
    <xf numFmtId="0" fontId="25" fillId="2" borderId="0" xfId="0" applyNumberFormat="1" applyFont="1" applyFill="1" applyBorder="1" applyAlignment="1" applyProtection="1">
      <alignment vertical="center"/>
    </xf>
    <xf numFmtId="0" fontId="21" fillId="0" borderId="12" xfId="0" applyFont="1" applyFill="1" applyBorder="1" applyAlignment="1" applyProtection="1">
      <alignment horizontal="center" vertical="center"/>
    </xf>
    <xf numFmtId="0" fontId="61" fillId="3" borderId="60" xfId="0" applyFont="1" applyFill="1" applyBorder="1" applyAlignment="1" applyProtection="1">
      <alignment horizontal="center" vertical="center"/>
      <protection locked="0"/>
    </xf>
    <xf numFmtId="0" fontId="50" fillId="3" borderId="60" xfId="0" applyFont="1" applyFill="1" applyBorder="1" applyAlignment="1" applyProtection="1">
      <alignment horizontal="center" vertical="center"/>
      <protection locked="0"/>
    </xf>
    <xf numFmtId="0" fontId="61" fillId="2" borderId="0" xfId="0" applyFont="1" applyFill="1" applyBorder="1" applyAlignment="1">
      <alignment horizontal="center" vertical="top"/>
    </xf>
    <xf numFmtId="0" fontId="61" fillId="2" borderId="9" xfId="0" applyFont="1" applyFill="1" applyBorder="1" applyAlignment="1">
      <alignment horizontal="center" vertical="top"/>
    </xf>
    <xf numFmtId="0" fontId="61" fillId="2" borderId="8" xfId="0" applyFont="1" applyFill="1" applyBorder="1" applyAlignment="1">
      <alignment horizontal="center" vertical="top"/>
    </xf>
    <xf numFmtId="0" fontId="61" fillId="2" borderId="0" xfId="0" applyFont="1" applyFill="1" applyBorder="1"/>
    <xf numFmtId="0" fontId="61" fillId="2" borderId="9" xfId="0" applyFont="1" applyFill="1" applyBorder="1"/>
    <xf numFmtId="0" fontId="61" fillId="2" borderId="8" xfId="0" applyFont="1" applyFill="1" applyBorder="1"/>
    <xf numFmtId="0" fontId="61" fillId="3" borderId="60" xfId="0" applyFont="1" applyFill="1" applyBorder="1" applyAlignment="1" applyProtection="1">
      <alignment horizontal="center" vertical="center" wrapText="1"/>
      <protection locked="0"/>
    </xf>
    <xf numFmtId="0" fontId="61" fillId="2" borderId="0" xfId="0" applyFont="1" applyFill="1" applyBorder="1" applyAlignment="1">
      <alignment horizontal="center" vertical="top" wrapText="1"/>
    </xf>
    <xf numFmtId="0" fontId="61" fillId="2" borderId="9" xfId="0" applyFont="1" applyFill="1" applyBorder="1" applyAlignment="1">
      <alignment horizontal="center" vertical="top" wrapText="1"/>
    </xf>
    <xf numFmtId="0" fontId="61" fillId="2" borderId="0" xfId="0" applyFont="1" applyFill="1" applyBorder="1" applyAlignment="1">
      <alignment vertical="top" wrapText="1"/>
    </xf>
    <xf numFmtId="0" fontId="61" fillId="2" borderId="9" xfId="0" applyFont="1" applyFill="1" applyBorder="1" applyAlignment="1">
      <alignment vertical="top" wrapText="1"/>
    </xf>
    <xf numFmtId="0" fontId="15" fillId="0" borderId="8" xfId="0" applyFont="1" applyFill="1" applyBorder="1" applyAlignment="1"/>
    <xf numFmtId="0" fontId="0" fillId="0" borderId="8" xfId="0" applyFill="1" applyBorder="1" applyProtection="1"/>
    <xf numFmtId="0" fontId="60" fillId="0" borderId="8" xfId="0" applyFont="1" applyBorder="1"/>
    <xf numFmtId="0" fontId="60" fillId="0" borderId="0" xfId="0" applyFont="1" applyBorder="1"/>
    <xf numFmtId="0" fontId="60" fillId="0" borderId="9" xfId="0" applyFont="1" applyBorder="1"/>
    <xf numFmtId="0" fontId="13" fillId="0" borderId="0" xfId="0" applyFont="1"/>
    <xf numFmtId="49" fontId="23" fillId="0" borderId="8" xfId="0" applyNumberFormat="1" applyFont="1" applyBorder="1" applyAlignment="1" applyProtection="1">
      <alignment horizontal="center" vertical="center"/>
    </xf>
    <xf numFmtId="49" fontId="51" fillId="0" borderId="0" xfId="0" applyNumberFormat="1" applyFont="1" applyBorder="1" applyAlignment="1" applyProtection="1">
      <alignment horizontal="center" vertical="center"/>
    </xf>
    <xf numFmtId="49" fontId="53" fillId="0" borderId="0" xfId="0" applyNumberFormat="1" applyFont="1" applyBorder="1" applyAlignment="1" applyProtection="1">
      <alignment horizontal="center" vertical="center"/>
    </xf>
    <xf numFmtId="0" fontId="51" fillId="0" borderId="8" xfId="0" applyFont="1" applyBorder="1" applyAlignment="1" applyProtection="1">
      <alignment vertical="center"/>
    </xf>
    <xf numFmtId="166" fontId="53" fillId="0" borderId="16" xfId="0" applyNumberFormat="1" applyFont="1" applyBorder="1" applyAlignment="1" applyProtection="1">
      <alignment horizontal="center" vertical="center"/>
    </xf>
    <xf numFmtId="166" fontId="53" fillId="0" borderId="0" xfId="0" applyNumberFormat="1" applyFont="1" applyBorder="1" applyAlignment="1" applyProtection="1">
      <alignment horizontal="center" vertical="center"/>
    </xf>
    <xf numFmtId="0" fontId="23" fillId="0" borderId="8" xfId="0" applyFont="1" applyBorder="1" applyAlignment="1" applyProtection="1">
      <alignment vertical="center"/>
    </xf>
    <xf numFmtId="14" fontId="53" fillId="0" borderId="0" xfId="0" applyNumberFormat="1" applyFont="1" applyBorder="1" applyAlignment="1" applyProtection="1">
      <alignment horizontal="center" vertical="center"/>
    </xf>
    <xf numFmtId="49" fontId="53" fillId="0" borderId="0" xfId="0" applyNumberFormat="1" applyFont="1" applyBorder="1" applyAlignment="1" applyProtection="1">
      <alignment horizontal="left" vertical="center"/>
    </xf>
    <xf numFmtId="0" fontId="15" fillId="0" borderId="0" xfId="0" applyFont="1" applyBorder="1" applyAlignment="1" applyProtection="1">
      <alignment horizontal="left"/>
    </xf>
    <xf numFmtId="0" fontId="51" fillId="0" borderId="0" xfId="0" applyFont="1" applyBorder="1" applyAlignment="1" applyProtection="1">
      <alignment vertical="center"/>
    </xf>
    <xf numFmtId="0" fontId="0" fillId="0" borderId="16" xfId="0" applyBorder="1" applyProtection="1"/>
    <xf numFmtId="167" fontId="52" fillId="0" borderId="0" xfId="0" applyNumberFormat="1" applyFont="1" applyBorder="1" applyAlignment="1" applyProtection="1">
      <alignment vertical="center"/>
    </xf>
    <xf numFmtId="166" fontId="53" fillId="0" borderId="13" xfId="0" applyNumberFormat="1" applyFont="1" applyBorder="1" applyAlignment="1" applyProtection="1">
      <alignment horizontal="center" vertical="center"/>
    </xf>
    <xf numFmtId="0" fontId="57" fillId="0" borderId="0" xfId="0" applyFont="1" applyBorder="1" applyAlignment="1" applyProtection="1">
      <alignment vertical="center"/>
    </xf>
    <xf numFmtId="0" fontId="53" fillId="0" borderId="16" xfId="0" applyFont="1" applyBorder="1" applyAlignment="1" applyProtection="1">
      <alignment horizontal="left" vertical="center"/>
    </xf>
    <xf numFmtId="0" fontId="53" fillId="0" borderId="13" xfId="0" applyFont="1" applyBorder="1" applyAlignment="1" applyProtection="1">
      <alignment horizontal="left" vertical="center"/>
    </xf>
    <xf numFmtId="0" fontId="58" fillId="0" borderId="8" xfId="0" applyFont="1" applyBorder="1" applyAlignment="1" applyProtection="1">
      <alignment vertical="center"/>
    </xf>
    <xf numFmtId="0" fontId="53" fillId="0" borderId="13" xfId="0" applyFont="1" applyBorder="1" applyAlignment="1" applyProtection="1">
      <alignment vertical="center"/>
    </xf>
    <xf numFmtId="49" fontId="53" fillId="0" borderId="0" xfId="0" applyNumberFormat="1" applyFont="1" applyFill="1" applyBorder="1" applyAlignment="1" applyProtection="1">
      <alignment horizontal="left" vertical="center" wrapText="1"/>
    </xf>
    <xf numFmtId="0" fontId="33" fillId="0" borderId="1" xfId="0" applyFont="1" applyFill="1" applyBorder="1" applyAlignment="1" applyProtection="1">
      <alignment vertical="center"/>
    </xf>
    <xf numFmtId="0" fontId="33" fillId="0" borderId="6" xfId="0" applyFont="1" applyFill="1" applyBorder="1" applyAlignment="1" applyProtection="1">
      <alignment vertical="center"/>
    </xf>
    <xf numFmtId="0" fontId="55" fillId="0" borderId="8" xfId="0" applyFont="1" applyFill="1" applyBorder="1" applyAlignment="1" applyProtection="1">
      <alignment vertical="center"/>
    </xf>
    <xf numFmtId="0" fontId="23" fillId="0" borderId="0" xfId="0" applyFont="1" applyBorder="1" applyAlignment="1" applyProtection="1">
      <alignment horizontal="left" vertical="center" wrapText="1"/>
    </xf>
    <xf numFmtId="0" fontId="53" fillId="0" borderId="0" xfId="0" quotePrefix="1" applyFont="1" applyBorder="1" applyAlignment="1" applyProtection="1">
      <alignment horizontal="center" vertical="center"/>
    </xf>
    <xf numFmtId="0" fontId="51" fillId="0" borderId="0" xfId="0" applyFont="1" applyBorder="1" applyAlignment="1" applyProtection="1">
      <alignment vertical="center" wrapText="1"/>
    </xf>
    <xf numFmtId="0" fontId="0" fillId="0" borderId="8" xfId="0" applyFill="1" applyBorder="1" applyAlignment="1" applyProtection="1">
      <alignment vertical="center"/>
    </xf>
    <xf numFmtId="0" fontId="54" fillId="0" borderId="0" xfId="0" applyFont="1" applyBorder="1" applyAlignment="1" applyProtection="1">
      <alignment horizontal="right" vertical="center"/>
    </xf>
    <xf numFmtId="170" fontId="54" fillId="0" borderId="0" xfId="0" quotePrefix="1" applyNumberFormat="1" applyFont="1" applyBorder="1" applyAlignment="1" applyProtection="1">
      <alignment horizontal="center" vertical="center"/>
    </xf>
    <xf numFmtId="0" fontId="54" fillId="0" borderId="0" xfId="0" quotePrefix="1" applyFont="1" applyBorder="1" applyAlignment="1" applyProtection="1">
      <alignment horizontal="center" vertical="center"/>
    </xf>
    <xf numFmtId="0" fontId="15" fillId="0" borderId="6" xfId="0" applyFont="1" applyBorder="1" applyProtection="1"/>
    <xf numFmtId="0" fontId="15" fillId="0" borderId="2" xfId="0" applyFont="1" applyBorder="1" applyProtection="1"/>
    <xf numFmtId="0" fontId="15" fillId="0" borderId="13" xfId="0" applyFont="1" applyBorder="1" applyProtection="1"/>
    <xf numFmtId="0" fontId="15" fillId="0" borderId="16" xfId="0" applyFont="1" applyBorder="1" applyAlignment="1" applyProtection="1"/>
    <xf numFmtId="0" fontId="54" fillId="0" borderId="0" xfId="0" applyFont="1" applyBorder="1" applyAlignment="1" applyProtection="1">
      <alignment horizontal="left" wrapText="1"/>
    </xf>
    <xf numFmtId="169" fontId="54" fillId="0" borderId="0" xfId="0" applyNumberFormat="1" applyFont="1" applyBorder="1" applyAlignment="1" applyProtection="1">
      <alignment horizontal="center" wrapText="1"/>
    </xf>
    <xf numFmtId="166" fontId="53" fillId="0" borderId="0" xfId="0" applyNumberFormat="1" applyFont="1" applyBorder="1" applyAlignment="1" applyProtection="1">
      <alignment wrapText="1"/>
    </xf>
    <xf numFmtId="0" fontId="15" fillId="0" borderId="0" xfId="0" applyFont="1" applyAlignment="1" applyProtection="1"/>
    <xf numFmtId="166" fontId="53" fillId="0" borderId="13" xfId="0" applyNumberFormat="1" applyFont="1" applyBorder="1" applyAlignment="1" applyProtection="1">
      <alignment wrapText="1"/>
    </xf>
    <xf numFmtId="166" fontId="53" fillId="0" borderId="16" xfId="0" applyNumberFormat="1" applyFont="1" applyBorder="1" applyAlignment="1" applyProtection="1">
      <alignment wrapText="1"/>
    </xf>
    <xf numFmtId="166" fontId="53" fillId="0" borderId="13" xfId="0" applyNumberFormat="1" applyFont="1" applyBorder="1" applyAlignment="1" applyProtection="1">
      <alignment horizontal="left" wrapText="1"/>
    </xf>
    <xf numFmtId="166" fontId="53" fillId="0" borderId="16" xfId="0" applyNumberFormat="1" applyFont="1" applyBorder="1" applyAlignment="1" applyProtection="1">
      <alignment horizontal="left" wrapText="1"/>
    </xf>
    <xf numFmtId="0" fontId="54" fillId="0" borderId="16" xfId="0" applyFont="1" applyBorder="1" applyAlignment="1" applyProtection="1"/>
    <xf numFmtId="0" fontId="51" fillId="0" borderId="0" xfId="0" applyFont="1" applyBorder="1" applyAlignment="1" applyProtection="1"/>
    <xf numFmtId="0" fontId="48" fillId="0" borderId="0" xfId="0" applyFont="1" applyBorder="1" applyAlignment="1" applyProtection="1"/>
    <xf numFmtId="0" fontId="53" fillId="0" borderId="0" xfId="0" applyFont="1" applyBorder="1" applyAlignment="1" applyProtection="1"/>
    <xf numFmtId="0" fontId="54" fillId="0" borderId="0" xfId="0" applyFont="1" applyBorder="1" applyAlignment="1" applyProtection="1">
      <alignment horizontal="center" wrapText="1"/>
    </xf>
    <xf numFmtId="0" fontId="15" fillId="0" borderId="0" xfId="0" applyFont="1" applyFill="1" applyBorder="1" applyAlignment="1" applyProtection="1"/>
    <xf numFmtId="0" fontId="50" fillId="0" borderId="12" xfId="0" applyFont="1" applyFill="1" applyBorder="1" applyAlignment="1" applyProtection="1">
      <alignment horizontal="center" vertical="center"/>
      <protection locked="0"/>
    </xf>
    <xf numFmtId="0" fontId="64" fillId="2" borderId="6" xfId="0" applyFont="1" applyFill="1" applyBorder="1" applyAlignment="1" applyProtection="1">
      <alignment vertical="center"/>
      <protection locked="0"/>
    </xf>
    <xf numFmtId="0" fontId="64" fillId="2" borderId="52" xfId="0" applyFont="1" applyFill="1" applyBorder="1" applyAlignment="1" applyProtection="1">
      <alignment vertical="center"/>
      <protection locked="0"/>
    </xf>
    <xf numFmtId="0" fontId="64" fillId="2" borderId="0" xfId="0" applyFont="1" applyFill="1" applyBorder="1" applyAlignment="1" applyProtection="1">
      <alignment vertical="center"/>
      <protection locked="0"/>
    </xf>
    <xf numFmtId="0" fontId="64" fillId="2" borderId="63" xfId="0" applyFont="1" applyFill="1" applyBorder="1" applyAlignment="1" applyProtection="1">
      <alignment vertical="center"/>
      <protection locked="0"/>
    </xf>
    <xf numFmtId="0" fontId="64" fillId="2" borderId="62" xfId="0" applyFont="1" applyFill="1" applyBorder="1" applyAlignment="1" applyProtection="1">
      <alignment horizontal="center" vertical="center"/>
      <protection locked="0"/>
    </xf>
    <xf numFmtId="0" fontId="64" fillId="2" borderId="0" xfId="0" applyFont="1" applyFill="1" applyBorder="1" applyAlignment="1" applyProtection="1">
      <alignment horizontal="center" vertical="center"/>
      <protection locked="0"/>
    </xf>
    <xf numFmtId="0" fontId="64" fillId="2" borderId="63" xfId="0" applyFont="1" applyFill="1" applyBorder="1" applyAlignment="1" applyProtection="1">
      <alignment horizontal="center" vertical="center"/>
      <protection locked="0"/>
    </xf>
    <xf numFmtId="0" fontId="64" fillId="2" borderId="94" xfId="0" applyFont="1" applyFill="1" applyBorder="1" applyAlignment="1" applyProtection="1">
      <alignment horizontal="center" vertical="center"/>
      <protection locked="0"/>
    </xf>
    <xf numFmtId="0" fontId="64" fillId="2" borderId="52" xfId="0" applyFont="1" applyFill="1" applyBorder="1" applyAlignment="1" applyProtection="1">
      <alignment horizontal="center" vertical="center"/>
      <protection locked="0"/>
    </xf>
    <xf numFmtId="0" fontId="64" fillId="2" borderId="93" xfId="0" applyFont="1" applyFill="1" applyBorder="1" applyAlignment="1" applyProtection="1">
      <alignment horizontal="center" vertical="center"/>
      <protection locked="0"/>
    </xf>
    <xf numFmtId="0" fontId="64" fillId="2" borderId="94" xfId="0" applyFont="1" applyFill="1" applyBorder="1" applyAlignment="1" applyProtection="1">
      <alignment vertical="center"/>
      <protection locked="0"/>
    </xf>
    <xf numFmtId="0" fontId="64" fillId="2" borderId="93" xfId="0" applyFont="1" applyFill="1" applyBorder="1" applyAlignment="1" applyProtection="1">
      <alignment vertical="center"/>
      <protection locked="0"/>
    </xf>
    <xf numFmtId="0" fontId="15" fillId="0" borderId="6" xfId="0" applyFont="1" applyFill="1" applyBorder="1" applyAlignment="1" applyProtection="1">
      <alignment vertical="center"/>
    </xf>
    <xf numFmtId="3" fontId="54" fillId="0" borderId="0" xfId="0" applyNumberFormat="1" applyFont="1" applyFill="1" applyBorder="1" applyAlignment="1" applyProtection="1">
      <alignment vertical="center"/>
    </xf>
    <xf numFmtId="0" fontId="0" fillId="0" borderId="13" xfId="0" applyBorder="1" applyAlignment="1">
      <alignment wrapText="1"/>
    </xf>
    <xf numFmtId="0" fontId="1" fillId="0" borderId="0" xfId="0" applyFont="1" applyAlignment="1">
      <alignment vertical="top" wrapText="1"/>
    </xf>
    <xf numFmtId="0" fontId="0" fillId="0" borderId="0" xfId="0" applyFont="1" applyBorder="1" applyAlignment="1"/>
    <xf numFmtId="0" fontId="0" fillId="2" borderId="62" xfId="0" applyFont="1" applyFill="1" applyBorder="1" applyAlignment="1"/>
    <xf numFmtId="0" fontId="15" fillId="2" borderId="3" xfId="0" applyFont="1" applyFill="1" applyBorder="1" applyProtection="1">
      <protection locked="0"/>
    </xf>
    <xf numFmtId="0" fontId="15" fillId="2" borderId="7" xfId="0" applyFont="1" applyFill="1" applyBorder="1" applyProtection="1">
      <protection locked="0"/>
    </xf>
    <xf numFmtId="0" fontId="15" fillId="0" borderId="7" xfId="0" applyFont="1" applyBorder="1" applyProtection="1">
      <protection locked="0"/>
    </xf>
    <xf numFmtId="0" fontId="15" fillId="0" borderId="4" xfId="0" applyFont="1" applyBorder="1" applyProtection="1">
      <protection locked="0"/>
    </xf>
    <xf numFmtId="0" fontId="0" fillId="0" borderId="0" xfId="0" applyBorder="1" applyAlignment="1" applyProtection="1">
      <protection locked="0"/>
    </xf>
    <xf numFmtId="0" fontId="34" fillId="0" borderId="0" xfId="0" applyFont="1" applyBorder="1" applyAlignment="1" applyProtection="1">
      <alignment vertical="center"/>
      <protection locked="0"/>
    </xf>
    <xf numFmtId="0" fontId="29" fillId="0" borderId="0" xfId="0" applyFont="1" applyFill="1" applyBorder="1" applyAlignment="1" applyProtection="1">
      <alignment vertical="top"/>
      <protection locked="0"/>
    </xf>
    <xf numFmtId="0" fontId="25" fillId="0" borderId="0" xfId="0" applyFont="1" applyFill="1" applyBorder="1" applyAlignment="1" applyProtection="1">
      <alignment vertical="top"/>
      <protection locked="0"/>
    </xf>
    <xf numFmtId="0" fontId="29" fillId="0" borderId="0" xfId="0" applyFont="1" applyFill="1" applyBorder="1" applyAlignment="1" applyProtection="1">
      <alignment vertical="center"/>
      <protection locked="0"/>
    </xf>
    <xf numFmtId="0" fontId="25" fillId="0" borderId="0" xfId="0" applyFont="1" applyFill="1" applyBorder="1" applyAlignment="1" applyProtection="1">
      <alignment vertical="center"/>
      <protection locked="0"/>
    </xf>
    <xf numFmtId="0" fontId="24" fillId="0" borderId="0" xfId="0" applyFont="1" applyFill="1" applyBorder="1" applyAlignment="1" applyProtection="1">
      <alignment vertical="center"/>
      <protection locked="0"/>
    </xf>
    <xf numFmtId="14" fontId="25" fillId="0" borderId="0" xfId="0" applyNumberFormat="1" applyFont="1" applyFill="1" applyBorder="1" applyAlignment="1" applyProtection="1">
      <alignment vertical="center"/>
      <protection locked="0"/>
    </xf>
    <xf numFmtId="0" fontId="23" fillId="0" borderId="0" xfId="0" applyFont="1" applyBorder="1" applyProtection="1">
      <protection locked="0"/>
    </xf>
    <xf numFmtId="0" fontId="23" fillId="0" borderId="0" xfId="0" applyFont="1" applyBorder="1" applyAlignment="1" applyProtection="1">
      <protection locked="0"/>
    </xf>
    <xf numFmtId="0" fontId="0" fillId="0" borderId="0" xfId="0" applyBorder="1" applyAlignment="1" applyProtection="1">
      <alignment vertical="top"/>
      <protection locked="0"/>
    </xf>
    <xf numFmtId="0" fontId="0" fillId="0" borderId="0" xfId="0" applyBorder="1" applyAlignment="1" applyProtection="1">
      <alignment vertical="top" wrapText="1"/>
      <protection locked="0"/>
    </xf>
    <xf numFmtId="0" fontId="0" fillId="0" borderId="0" xfId="0" applyBorder="1" applyAlignment="1" applyProtection="1">
      <alignment horizontal="center" vertical="top"/>
      <protection locked="0"/>
    </xf>
    <xf numFmtId="0" fontId="0" fillId="0" borderId="0" xfId="0" applyBorder="1" applyProtection="1">
      <protection locked="0"/>
    </xf>
    <xf numFmtId="49" fontId="0" fillId="0" borderId="0" xfId="0" applyNumberFormat="1" applyBorder="1" applyProtection="1">
      <protection locked="0"/>
    </xf>
    <xf numFmtId="49" fontId="0" fillId="0" borderId="0" xfId="0" applyNumberFormat="1" applyBorder="1" applyAlignment="1" applyProtection="1">
      <protection locked="0"/>
    </xf>
    <xf numFmtId="0" fontId="0" fillId="0" borderId="0" xfId="0" applyFill="1" applyBorder="1" applyProtection="1">
      <protection locked="0"/>
    </xf>
    <xf numFmtId="14" fontId="0" fillId="0" borderId="0" xfId="0" applyNumberFormat="1" applyBorder="1" applyAlignment="1" applyProtection="1">
      <protection locked="0"/>
    </xf>
    <xf numFmtId="0" fontId="27" fillId="2" borderId="8" xfId="0" applyNumberFormat="1" applyFont="1" applyFill="1" applyBorder="1" applyAlignment="1" applyProtection="1">
      <alignment vertical="center"/>
    </xf>
    <xf numFmtId="0" fontId="50" fillId="2" borderId="0" xfId="0" applyNumberFormat="1" applyFont="1" applyFill="1" applyBorder="1" applyAlignment="1" applyProtection="1">
      <alignment horizontal="center" vertical="center"/>
      <protection locked="0"/>
    </xf>
    <xf numFmtId="0" fontId="15" fillId="0" borderId="0" xfId="0" applyFont="1" applyAlignment="1">
      <alignment vertical="center"/>
    </xf>
    <xf numFmtId="0" fontId="64" fillId="2" borderId="0" xfId="0" applyFont="1" applyFill="1" applyBorder="1" applyAlignment="1">
      <alignment vertical="center"/>
    </xf>
    <xf numFmtId="0" fontId="64" fillId="2" borderId="61" xfId="0" applyFont="1" applyFill="1" applyBorder="1" applyAlignment="1">
      <alignment vertical="center"/>
    </xf>
    <xf numFmtId="0" fontId="64" fillId="2" borderId="52" xfId="0" applyFont="1" applyFill="1" applyBorder="1" applyAlignment="1">
      <alignment vertical="center"/>
    </xf>
    <xf numFmtId="0" fontId="27" fillId="0" borderId="0" xfId="0" applyFont="1" applyAlignment="1">
      <alignment horizontal="center" vertical="center"/>
    </xf>
    <xf numFmtId="0" fontId="27" fillId="2" borderId="1" xfId="0" applyNumberFormat="1" applyFont="1" applyFill="1" applyBorder="1" applyAlignment="1" applyProtection="1">
      <alignment vertical="center"/>
    </xf>
    <xf numFmtId="0" fontId="27" fillId="2" borderId="6" xfId="0" applyNumberFormat="1" applyFont="1" applyFill="1" applyBorder="1" applyAlignment="1" applyProtection="1">
      <alignment vertical="center"/>
    </xf>
    <xf numFmtId="0" fontId="27" fillId="0" borderId="0" xfId="0" applyFont="1" applyAlignment="1">
      <alignment vertical="center"/>
    </xf>
    <xf numFmtId="0" fontId="44" fillId="0" borderId="1" xfId="0" applyFont="1" applyBorder="1" applyAlignment="1">
      <alignment vertical="top" wrapText="1"/>
    </xf>
    <xf numFmtId="0" fontId="44" fillId="0" borderId="8" xfId="0" applyFont="1" applyBorder="1" applyAlignment="1">
      <alignment vertical="top" wrapText="1"/>
    </xf>
    <xf numFmtId="0" fontId="44" fillId="0" borderId="3" xfId="0" applyFont="1" applyBorder="1" applyAlignment="1">
      <alignment vertical="top" wrapText="1"/>
    </xf>
    <xf numFmtId="0" fontId="25" fillId="0" borderId="0" xfId="0" applyFont="1" applyBorder="1" applyAlignment="1" applyProtection="1">
      <alignment vertical="center"/>
    </xf>
    <xf numFmtId="0" fontId="21" fillId="0" borderId="12" xfId="0" applyFont="1" applyFill="1" applyBorder="1" applyAlignment="1">
      <alignment horizontal="center" vertical="center"/>
    </xf>
    <xf numFmtId="0" fontId="34" fillId="2" borderId="0" xfId="0" applyFont="1" applyFill="1" applyBorder="1" applyAlignment="1" applyProtection="1">
      <alignment horizontal="center" vertical="center"/>
    </xf>
    <xf numFmtId="0" fontId="19" fillId="0" borderId="0" xfId="0" applyFont="1" applyFill="1" applyBorder="1" applyAlignment="1">
      <alignment horizontal="left" vertical="center"/>
    </xf>
    <xf numFmtId="0" fontId="0" fillId="0" borderId="16" xfId="0" applyFill="1" applyBorder="1" applyAlignment="1">
      <alignment wrapText="1"/>
    </xf>
    <xf numFmtId="0" fontId="0" fillId="0" borderId="0" xfId="0" applyProtection="1"/>
    <xf numFmtId="0" fontId="5" fillId="0" borderId="0" xfId="0" applyFont="1" applyProtection="1"/>
    <xf numFmtId="0" fontId="0" fillId="0" borderId="1" xfId="0" applyBorder="1" applyProtection="1"/>
    <xf numFmtId="0" fontId="0" fillId="0" borderId="6" xfId="0" applyBorder="1" applyProtection="1"/>
    <xf numFmtId="0" fontId="0" fillId="0" borderId="10" xfId="0" applyBorder="1" applyProtection="1"/>
    <xf numFmtId="0" fontId="0" fillId="0" borderId="11" xfId="0" applyBorder="1" applyProtection="1"/>
    <xf numFmtId="0" fontId="0" fillId="0" borderId="5" xfId="0" applyBorder="1" applyProtection="1"/>
    <xf numFmtId="0" fontId="0" fillId="0" borderId="2" xfId="0" applyBorder="1" applyProtection="1"/>
    <xf numFmtId="0" fontId="0" fillId="0" borderId="8" xfId="0" applyBorder="1" applyProtection="1"/>
    <xf numFmtId="0" fontId="0" fillId="0" borderId="9" xfId="0" applyBorder="1" applyProtection="1"/>
    <xf numFmtId="0" fontId="0" fillId="0" borderId="3" xfId="0" applyBorder="1" applyProtection="1"/>
    <xf numFmtId="0" fontId="0" fillId="0" borderId="7" xfId="0" applyBorder="1" applyAlignment="1" applyProtection="1">
      <alignment vertical="center"/>
    </xf>
    <xf numFmtId="0" fontId="0" fillId="0" borderId="4" xfId="0" applyBorder="1" applyProtection="1"/>
    <xf numFmtId="0" fontId="5" fillId="0" borderId="8" xfId="0" applyFont="1" applyBorder="1" applyProtection="1"/>
    <xf numFmtId="0" fontId="5" fillId="0" borderId="0" xfId="0" applyFont="1" applyBorder="1" applyProtection="1"/>
    <xf numFmtId="0" fontId="5" fillId="0" borderId="9" xfId="0" applyFont="1" applyBorder="1" applyProtection="1"/>
    <xf numFmtId="0" fontId="5" fillId="0" borderId="1" xfId="0" applyFont="1" applyBorder="1" applyAlignment="1" applyProtection="1">
      <alignment vertical="top"/>
    </xf>
    <xf numFmtId="0" fontId="5" fillId="0" borderId="6" xfId="0" applyFont="1" applyBorder="1" applyAlignment="1" applyProtection="1">
      <alignment vertical="top"/>
    </xf>
    <xf numFmtId="0" fontId="5" fillId="0" borderId="1" xfId="0" applyFont="1" applyBorder="1" applyProtection="1"/>
    <xf numFmtId="0" fontId="5" fillId="0" borderId="6" xfId="0" applyFont="1" applyBorder="1" applyProtection="1"/>
    <xf numFmtId="0" fontId="5" fillId="0" borderId="2" xfId="0" applyFont="1" applyBorder="1" applyProtection="1"/>
    <xf numFmtId="0" fontId="5" fillId="0" borderId="3" xfId="0" applyFont="1" applyBorder="1" applyProtection="1"/>
    <xf numFmtId="0" fontId="5" fillId="0" borderId="7" xfId="0" applyFont="1" applyBorder="1" applyProtection="1"/>
    <xf numFmtId="0" fontId="5" fillId="0" borderId="4" xfId="0" applyFont="1" applyBorder="1" applyProtection="1"/>
    <xf numFmtId="0" fontId="0" fillId="0" borderId="7" xfId="0" applyBorder="1" applyProtection="1"/>
    <xf numFmtId="0" fontId="27" fillId="0" borderId="0" xfId="0" applyFont="1" applyAlignment="1" applyProtection="1">
      <alignment horizontal="center" vertical="center"/>
    </xf>
    <xf numFmtId="0" fontId="27" fillId="2" borderId="13" xfId="0" applyFont="1" applyFill="1" applyBorder="1" applyAlignment="1" applyProtection="1">
      <alignment horizontal="center" vertical="center"/>
      <protection locked="0"/>
    </xf>
    <xf numFmtId="0" fontId="29" fillId="0" borderId="0" xfId="0" applyFont="1" applyBorder="1" applyAlignment="1" applyProtection="1">
      <alignment horizontal="left" vertical="center"/>
    </xf>
    <xf numFmtId="0" fontId="25" fillId="0" borderId="0" xfId="0" applyFont="1" applyBorder="1" applyAlignment="1" applyProtection="1">
      <alignment horizontal="left" vertical="center"/>
    </xf>
    <xf numFmtId="0" fontId="43" fillId="0" borderId="0" xfId="0" applyFont="1" applyBorder="1" applyAlignment="1" applyProtection="1">
      <alignment horizontal="left" vertical="center"/>
    </xf>
    <xf numFmtId="0" fontId="43" fillId="0" borderId="9" xfId="0" applyFont="1" applyBorder="1" applyAlignment="1" applyProtection="1">
      <alignment horizontal="left" vertical="center"/>
    </xf>
    <xf numFmtId="0" fontId="54" fillId="0" borderId="0" xfId="0" applyFont="1" applyBorder="1" applyAlignment="1" applyProtection="1">
      <alignment vertical="center" wrapText="1"/>
    </xf>
    <xf numFmtId="0" fontId="54" fillId="0" borderId="0" xfId="0" applyFont="1" applyBorder="1" applyAlignment="1" applyProtection="1">
      <alignment horizontal="left" vertical="center" wrapText="1"/>
    </xf>
    <xf numFmtId="0" fontId="53" fillId="0" borderId="0" xfId="0" applyFont="1" applyBorder="1" applyAlignment="1" applyProtection="1">
      <alignment horizontal="left" vertical="center"/>
    </xf>
    <xf numFmtId="166" fontId="53" fillId="0" borderId="0" xfId="0" applyNumberFormat="1" applyFont="1" applyBorder="1" applyAlignment="1" applyProtection="1">
      <alignment vertical="top" wrapText="1"/>
    </xf>
    <xf numFmtId="0" fontId="54" fillId="0" borderId="0" xfId="0" applyFont="1" applyBorder="1" applyAlignment="1" applyProtection="1"/>
    <xf numFmtId="166" fontId="53" fillId="0" borderId="13" xfId="0" applyNumberFormat="1" applyFont="1" applyBorder="1" applyAlignment="1" applyProtection="1">
      <alignment vertical="top" wrapText="1"/>
    </xf>
    <xf numFmtId="0" fontId="54" fillId="0" borderId="0" xfId="0" applyFont="1" applyBorder="1" applyAlignment="1" applyProtection="1">
      <alignment horizontal="left"/>
    </xf>
    <xf numFmtId="168" fontId="54" fillId="0" borderId="0" xfId="0" applyNumberFormat="1" applyFont="1" applyFill="1" applyBorder="1" applyAlignment="1" applyProtection="1"/>
    <xf numFmtId="0" fontId="51" fillId="0" borderId="0" xfId="0" applyFont="1" applyBorder="1" applyAlignment="1" applyProtection="1">
      <alignment horizontal="center" vertical="center"/>
    </xf>
    <xf numFmtId="166" fontId="54" fillId="0" borderId="16" xfId="0" applyNumberFormat="1" applyFont="1" applyBorder="1" applyAlignment="1" applyProtection="1">
      <alignment wrapText="1"/>
    </xf>
    <xf numFmtId="0" fontId="54" fillId="0" borderId="62" xfId="0" applyFont="1" applyBorder="1" applyAlignment="1" applyProtection="1"/>
    <xf numFmtId="0" fontId="39" fillId="0" borderId="8" xfId="0" applyFont="1" applyBorder="1" applyProtection="1"/>
    <xf numFmtId="0" fontId="39" fillId="0" borderId="0" xfId="0" applyFont="1" applyBorder="1" applyProtection="1"/>
    <xf numFmtId="0" fontId="39" fillId="0" borderId="0" xfId="0" applyFont="1" applyBorder="1" applyAlignment="1" applyProtection="1"/>
    <xf numFmtId="0" fontId="39" fillId="0" borderId="0" xfId="0" applyFont="1" applyProtection="1"/>
    <xf numFmtId="0" fontId="39" fillId="0" borderId="9" xfId="0" applyFont="1" applyBorder="1" applyProtection="1"/>
    <xf numFmtId="0" fontId="15" fillId="0" borderId="7" xfId="0" applyFont="1" applyBorder="1" applyProtection="1"/>
    <xf numFmtId="0" fontId="15" fillId="0" borderId="63" xfId="0" applyFont="1" applyBorder="1" applyProtection="1"/>
    <xf numFmtId="166" fontId="23" fillId="0" borderId="0" xfId="0" applyNumberFormat="1" applyFont="1" applyBorder="1" applyAlignment="1" applyProtection="1">
      <alignment horizontal="left" vertical="center"/>
    </xf>
    <xf numFmtId="0" fontId="0" fillId="0" borderId="0" xfId="0" applyBorder="1" applyAlignment="1" applyProtection="1">
      <alignment horizontal="left" vertical="center"/>
    </xf>
    <xf numFmtId="0" fontId="55" fillId="0" borderId="66" xfId="0" applyFont="1" applyFill="1" applyBorder="1" applyAlignment="1" applyProtection="1">
      <alignment vertical="center"/>
    </xf>
    <xf numFmtId="0" fontId="55" fillId="0" borderId="46" xfId="0" applyFont="1" applyBorder="1" applyAlignment="1" applyProtection="1">
      <alignment vertical="center"/>
    </xf>
    <xf numFmtId="0" fontId="36" fillId="0" borderId="1" xfId="0" applyFont="1" applyBorder="1" applyAlignment="1">
      <alignment horizontal="center" vertical="center"/>
    </xf>
    <xf numFmtId="0" fontId="36" fillId="0" borderId="6" xfId="0" applyFont="1" applyBorder="1" applyAlignment="1">
      <alignment horizontal="center" vertical="center"/>
    </xf>
    <xf numFmtId="0" fontId="36" fillId="0" borderId="2" xfId="0" applyFont="1" applyBorder="1" applyAlignment="1">
      <alignment horizontal="center" vertical="center"/>
    </xf>
    <xf numFmtId="0" fontId="36" fillId="0" borderId="8" xfId="0" applyFont="1" applyBorder="1" applyAlignment="1">
      <alignment horizontal="center" vertical="center"/>
    </xf>
    <xf numFmtId="0" fontId="36" fillId="0" borderId="0" xfId="0" applyFont="1" applyBorder="1" applyAlignment="1">
      <alignment horizontal="center" vertical="center"/>
    </xf>
    <xf numFmtId="0" fontId="36" fillId="0" borderId="9" xfId="0" applyFont="1" applyBorder="1" applyAlignment="1">
      <alignment horizontal="center" vertical="center"/>
    </xf>
    <xf numFmtId="0" fontId="36" fillId="0" borderId="3" xfId="0" applyFont="1" applyBorder="1" applyAlignment="1">
      <alignment horizontal="center" vertical="center"/>
    </xf>
    <xf numFmtId="0" fontId="36" fillId="0" borderId="7" xfId="0" applyFont="1" applyBorder="1" applyAlignment="1">
      <alignment horizontal="center" vertical="center"/>
    </xf>
    <xf numFmtId="0" fontId="36" fillId="0" borderId="4" xfId="0" applyFont="1" applyBorder="1" applyAlignment="1">
      <alignment horizontal="center" vertical="center"/>
    </xf>
    <xf numFmtId="0" fontId="37" fillId="0" borderId="1" xfId="0" applyFont="1" applyBorder="1" applyAlignment="1">
      <alignment horizontal="left" vertical="top" wrapText="1"/>
    </xf>
    <xf numFmtId="0" fontId="37" fillId="0" borderId="6" xfId="0" applyFont="1" applyBorder="1" applyAlignment="1">
      <alignment horizontal="left" vertical="top" wrapText="1"/>
    </xf>
    <xf numFmtId="0" fontId="37" fillId="0" borderId="2" xfId="0" applyFont="1" applyBorder="1" applyAlignment="1">
      <alignment horizontal="left" vertical="top" wrapText="1"/>
    </xf>
    <xf numFmtId="0" fontId="37" fillId="0" borderId="8" xfId="0" applyFont="1" applyBorder="1" applyAlignment="1">
      <alignment horizontal="left" vertical="top" wrapText="1"/>
    </xf>
    <xf numFmtId="0" fontId="37" fillId="0" borderId="0" xfId="0" applyFont="1" applyBorder="1" applyAlignment="1">
      <alignment horizontal="left" vertical="top" wrapText="1"/>
    </xf>
    <xf numFmtId="0" fontId="37" fillId="0" borderId="9" xfId="0" applyFont="1" applyBorder="1" applyAlignment="1">
      <alignment horizontal="left" vertical="top" wrapText="1"/>
    </xf>
    <xf numFmtId="0" fontId="37" fillId="0" borderId="3" xfId="0" applyFont="1" applyBorder="1" applyAlignment="1">
      <alignment horizontal="left" vertical="top" wrapText="1"/>
    </xf>
    <xf numFmtId="0" fontId="37" fillId="0" borderId="7" xfId="0" applyFont="1" applyBorder="1" applyAlignment="1">
      <alignment horizontal="left" vertical="top" wrapText="1"/>
    </xf>
    <xf numFmtId="0" fontId="37" fillId="0" borderId="4" xfId="0" applyFont="1" applyBorder="1" applyAlignment="1">
      <alignment horizontal="left" vertical="top" wrapText="1"/>
    </xf>
    <xf numFmtId="0" fontId="32" fillId="0" borderId="46" xfId="0" applyFont="1" applyFill="1" applyBorder="1" applyAlignment="1">
      <alignment horizontal="center" vertical="center" wrapText="1"/>
    </xf>
    <xf numFmtId="0" fontId="32" fillId="0" borderId="37" xfId="0" applyFont="1" applyFill="1" applyBorder="1" applyAlignment="1">
      <alignment horizontal="center" vertical="center" wrapText="1"/>
    </xf>
    <xf numFmtId="0" fontId="32" fillId="0" borderId="49" xfId="0" applyFont="1" applyFill="1" applyBorder="1" applyAlignment="1">
      <alignment horizontal="center" vertical="center" wrapText="1"/>
    </xf>
    <xf numFmtId="0" fontId="15" fillId="0" borderId="0" xfId="0" applyFont="1" applyAlignment="1">
      <alignment horizontal="left" vertical="center"/>
    </xf>
    <xf numFmtId="0" fontId="15" fillId="0" borderId="0" xfId="0" applyFont="1" applyBorder="1" applyAlignment="1">
      <alignment horizontal="left" vertical="center"/>
    </xf>
    <xf numFmtId="0" fontId="15" fillId="0" borderId="9" xfId="0" applyFont="1" applyBorder="1" applyAlignment="1">
      <alignment horizontal="left" vertical="center"/>
    </xf>
    <xf numFmtId="0" fontId="33" fillId="0" borderId="0" xfId="0" applyFont="1" applyBorder="1" applyAlignment="1" applyProtection="1">
      <alignment horizontal="center"/>
    </xf>
    <xf numFmtId="0" fontId="15" fillId="0" borderId="66" xfId="0" applyFont="1" applyFill="1" applyBorder="1" applyAlignment="1">
      <alignment horizontal="left" vertical="center"/>
    </xf>
    <xf numFmtId="0" fontId="15" fillId="0" borderId="16" xfId="0" applyFont="1" applyFill="1" applyBorder="1" applyAlignment="1">
      <alignment horizontal="left" vertical="center"/>
    </xf>
    <xf numFmtId="0" fontId="15" fillId="0" borderId="14" xfId="0" applyFont="1" applyFill="1" applyBorder="1" applyAlignment="1">
      <alignment horizontal="left" vertical="center"/>
    </xf>
    <xf numFmtId="0" fontId="15" fillId="0" borderId="8" xfId="0" applyFont="1" applyFill="1" applyBorder="1" applyAlignment="1">
      <alignment horizontal="left" vertical="center"/>
    </xf>
    <xf numFmtId="0" fontId="15" fillId="0" borderId="0" xfId="0" applyFont="1" applyFill="1" applyBorder="1" applyAlignment="1">
      <alignment horizontal="left" vertical="center"/>
    </xf>
    <xf numFmtId="0" fontId="15" fillId="0" borderId="63" xfId="0" applyFont="1" applyFill="1" applyBorder="1" applyAlignment="1">
      <alignment horizontal="left" vertical="center"/>
    </xf>
    <xf numFmtId="0" fontId="15" fillId="0" borderId="65" xfId="0" applyFont="1" applyFill="1" applyBorder="1" applyAlignment="1">
      <alignment horizontal="left" vertical="center"/>
    </xf>
    <xf numFmtId="0" fontId="15" fillId="0" borderId="13" xfId="0" applyFont="1" applyFill="1" applyBorder="1" applyAlignment="1">
      <alignment horizontal="left" vertical="center"/>
    </xf>
    <xf numFmtId="0" fontId="15" fillId="0" borderId="15" xfId="0" applyFont="1" applyFill="1" applyBorder="1" applyAlignment="1">
      <alignment horizontal="left" vertical="center"/>
    </xf>
    <xf numFmtId="0" fontId="19" fillId="0" borderId="1" xfId="0" applyFont="1" applyBorder="1" applyAlignment="1">
      <alignment horizontal="left" vertical="top"/>
    </xf>
    <xf numFmtId="0" fontId="19" fillId="0" borderId="6" xfId="0" applyFont="1" applyBorder="1" applyAlignment="1">
      <alignment horizontal="left" vertical="top"/>
    </xf>
    <xf numFmtId="0" fontId="19" fillId="0" borderId="27" xfId="0" applyFont="1" applyBorder="1" applyAlignment="1">
      <alignment horizontal="left" vertical="top"/>
    </xf>
    <xf numFmtId="0" fontId="19" fillId="0" borderId="8" xfId="0" applyFont="1" applyBorder="1" applyAlignment="1">
      <alignment horizontal="left" vertical="top"/>
    </xf>
    <xf numFmtId="0" fontId="19" fillId="0" borderId="0" xfId="0" applyFont="1" applyBorder="1" applyAlignment="1">
      <alignment horizontal="left" vertical="top"/>
    </xf>
    <xf numFmtId="0" fontId="19" fillId="0" borderId="63" xfId="0" applyFont="1" applyBorder="1" applyAlignment="1">
      <alignment horizontal="left" vertical="top"/>
    </xf>
    <xf numFmtId="0" fontId="19" fillId="0" borderId="65" xfId="0" applyFont="1" applyBorder="1" applyAlignment="1">
      <alignment horizontal="left" vertical="top"/>
    </xf>
    <xf numFmtId="0" fontId="19" fillId="0" borderId="13" xfId="0" applyFont="1" applyBorder="1" applyAlignment="1">
      <alignment horizontal="left" vertical="top"/>
    </xf>
    <xf numFmtId="0" fontId="19" fillId="0" borderId="15" xfId="0" applyFont="1" applyBorder="1" applyAlignment="1">
      <alignment horizontal="left" vertical="top"/>
    </xf>
    <xf numFmtId="16" fontId="15" fillId="0" borderId="32" xfId="0" quotePrefix="1" applyNumberFormat="1" applyFont="1" applyBorder="1" applyAlignment="1">
      <alignment horizontal="center" vertical="center" textRotation="180"/>
    </xf>
    <xf numFmtId="16" fontId="15" fillId="0" borderId="16" xfId="0" quotePrefix="1" applyNumberFormat="1" applyFont="1" applyBorder="1" applyAlignment="1">
      <alignment horizontal="center" vertical="center" textRotation="180"/>
    </xf>
    <xf numFmtId="16" fontId="15" fillId="0" borderId="14" xfId="0" quotePrefix="1" applyNumberFormat="1" applyFont="1" applyBorder="1" applyAlignment="1">
      <alignment horizontal="center" vertical="center" textRotation="180"/>
    </xf>
    <xf numFmtId="16" fontId="15" fillId="0" borderId="67" xfId="0" quotePrefix="1" applyNumberFormat="1" applyFont="1" applyBorder="1" applyAlignment="1">
      <alignment horizontal="center" vertical="center" textRotation="180"/>
    </xf>
    <xf numFmtId="16" fontId="15" fillId="0" borderId="13" xfId="0" quotePrefix="1" applyNumberFormat="1" applyFont="1" applyBorder="1" applyAlignment="1">
      <alignment horizontal="center" vertical="center" textRotation="180"/>
    </xf>
    <xf numFmtId="16" fontId="15" fillId="0" borderId="15" xfId="0" quotePrefix="1" applyNumberFormat="1" applyFont="1" applyBorder="1" applyAlignment="1">
      <alignment horizontal="center" vertical="center" textRotation="180"/>
    </xf>
    <xf numFmtId="1" fontId="15" fillId="0" borderId="32" xfId="0" applyNumberFormat="1" applyFont="1" applyBorder="1" applyAlignment="1">
      <alignment horizontal="center" vertical="center" textRotation="180"/>
    </xf>
    <xf numFmtId="1" fontId="15" fillId="0" borderId="16" xfId="0" applyNumberFormat="1" applyFont="1" applyBorder="1" applyAlignment="1">
      <alignment horizontal="center" vertical="center" textRotation="180"/>
    </xf>
    <xf numFmtId="1" fontId="15" fillId="0" borderId="14" xfId="0" applyNumberFormat="1" applyFont="1" applyBorder="1" applyAlignment="1">
      <alignment horizontal="center" vertical="center" textRotation="180"/>
    </xf>
    <xf numFmtId="1" fontId="15" fillId="0" borderId="67" xfId="0" applyNumberFormat="1" applyFont="1" applyBorder="1" applyAlignment="1">
      <alignment horizontal="center" vertical="center" textRotation="180"/>
    </xf>
    <xf numFmtId="1" fontId="15" fillId="0" borderId="13" xfId="0" applyNumberFormat="1" applyFont="1" applyBorder="1" applyAlignment="1">
      <alignment horizontal="center" vertical="center" textRotation="180"/>
    </xf>
    <xf numFmtId="1" fontId="15" fillId="0" borderId="15" xfId="0" applyNumberFormat="1" applyFont="1" applyBorder="1" applyAlignment="1">
      <alignment horizontal="center" vertical="center" textRotation="180"/>
    </xf>
    <xf numFmtId="0" fontId="23" fillId="0" borderId="22" xfId="0" applyFont="1" applyBorder="1" applyAlignment="1" applyProtection="1">
      <alignment horizontal="left" vertical="center"/>
    </xf>
    <xf numFmtId="0" fontId="23" fillId="0" borderId="23" xfId="0" applyFont="1" applyBorder="1" applyAlignment="1" applyProtection="1">
      <alignment horizontal="left" vertical="center"/>
    </xf>
    <xf numFmtId="0" fontId="15" fillId="2" borderId="13" xfId="0" applyFont="1" applyFill="1" applyBorder="1" applyAlignment="1" applyProtection="1">
      <alignment horizontal="left" vertical="center"/>
      <protection locked="0"/>
    </xf>
    <xf numFmtId="0" fontId="16" fillId="2" borderId="6" xfId="0" applyFont="1" applyFill="1" applyBorder="1" applyAlignment="1" applyProtection="1">
      <alignment horizontal="center" vertical="center"/>
      <protection locked="0"/>
    </xf>
    <xf numFmtId="0" fontId="16" fillId="2" borderId="2" xfId="0" applyFont="1" applyFill="1" applyBorder="1" applyAlignment="1" applyProtection="1">
      <alignment horizontal="center" vertical="center"/>
      <protection locked="0"/>
    </xf>
    <xf numFmtId="0" fontId="16" fillId="2" borderId="0" xfId="0" applyFont="1" applyFill="1" applyBorder="1" applyAlignment="1" applyProtection="1">
      <alignment horizontal="center" vertical="center"/>
      <protection locked="0"/>
    </xf>
    <xf numFmtId="0" fontId="16" fillId="2" borderId="9" xfId="0" applyFont="1" applyFill="1" applyBorder="1" applyAlignment="1" applyProtection="1">
      <alignment horizontal="center" vertical="center"/>
      <protection locked="0"/>
    </xf>
    <xf numFmtId="0" fontId="16" fillId="0" borderId="10" xfId="0" applyFont="1" applyFill="1" applyBorder="1" applyAlignment="1">
      <alignment horizontal="center" vertical="center"/>
    </xf>
    <xf numFmtId="0" fontId="16" fillId="0" borderId="11" xfId="0" applyFont="1" applyFill="1" applyBorder="1" applyAlignment="1">
      <alignment horizontal="center" vertical="center"/>
    </xf>
    <xf numFmtId="0" fontId="16" fillId="0" borderId="5" xfId="0" applyFont="1" applyFill="1" applyBorder="1" applyAlignment="1">
      <alignment horizontal="center" vertical="center"/>
    </xf>
    <xf numFmtId="0" fontId="15" fillId="0" borderId="28" xfId="0" applyFont="1" applyBorder="1" applyAlignment="1" applyProtection="1">
      <alignment horizontal="left" vertical="center"/>
    </xf>
    <xf numFmtId="0" fontId="15" fillId="0" borderId="23" xfId="0" applyFont="1" applyBorder="1" applyAlignment="1" applyProtection="1">
      <alignment horizontal="left" vertical="center"/>
    </xf>
    <xf numFmtId="0" fontId="15" fillId="0" borderId="3" xfId="0" applyFont="1" applyBorder="1" applyAlignment="1">
      <alignment horizontal="center"/>
    </xf>
    <xf numFmtId="0" fontId="15" fillId="0" borderId="7" xfId="0" applyFont="1" applyBorder="1" applyAlignment="1">
      <alignment horizontal="center"/>
    </xf>
    <xf numFmtId="0" fontId="15" fillId="0" borderId="4" xfId="0" applyFont="1" applyBorder="1" applyAlignment="1">
      <alignment horizontal="center"/>
    </xf>
    <xf numFmtId="0" fontId="15" fillId="0" borderId="0" xfId="0" applyFont="1" applyBorder="1" applyAlignment="1">
      <alignment horizontal="left" vertical="top"/>
    </xf>
    <xf numFmtId="0" fontId="15" fillId="0" borderId="34" xfId="0" applyFont="1" applyBorder="1" applyAlignment="1" applyProtection="1">
      <alignment horizontal="left" vertical="center"/>
    </xf>
    <xf numFmtId="0" fontId="15" fillId="0" borderId="35" xfId="0" applyFont="1" applyBorder="1" applyAlignment="1" applyProtection="1">
      <alignment horizontal="left" vertical="center"/>
    </xf>
    <xf numFmtId="0" fontId="23" fillId="0" borderId="0" xfId="0" applyFont="1" applyFill="1" applyBorder="1" applyAlignment="1">
      <alignment horizontal="left" vertical="center"/>
    </xf>
    <xf numFmtId="0" fontId="23" fillId="2" borderId="23" xfId="0" applyFont="1" applyFill="1" applyBorder="1" applyAlignment="1" applyProtection="1">
      <alignment horizontal="left" vertical="center"/>
      <protection locked="0"/>
    </xf>
    <xf numFmtId="0" fontId="23" fillId="2" borderId="24" xfId="0" applyFont="1" applyFill="1" applyBorder="1" applyAlignment="1" applyProtection="1">
      <alignment horizontal="left" vertical="center"/>
      <protection locked="0"/>
    </xf>
    <xf numFmtId="0" fontId="15" fillId="0" borderId="0" xfId="0" applyFont="1" applyFill="1" applyBorder="1" applyAlignment="1" applyProtection="1">
      <alignment horizontal="center" vertical="center"/>
      <protection locked="0"/>
    </xf>
    <xf numFmtId="0" fontId="23" fillId="0" borderId="45" xfId="0" applyFont="1" applyBorder="1" applyAlignment="1">
      <alignment horizontal="left" vertical="center"/>
    </xf>
    <xf numFmtId="0" fontId="23" fillId="0" borderId="35" xfId="0" applyFont="1" applyBorder="1" applyAlignment="1">
      <alignment horizontal="left" vertical="center"/>
    </xf>
    <xf numFmtId="0" fontId="23" fillId="0" borderId="0" xfId="0" applyFont="1" applyFill="1" applyBorder="1" applyAlignment="1" applyProtection="1">
      <alignment horizontal="center" vertical="center"/>
    </xf>
    <xf numFmtId="0" fontId="23" fillId="0" borderId="9" xfId="0" applyFont="1" applyFill="1" applyBorder="1" applyAlignment="1" applyProtection="1">
      <alignment horizontal="center" vertical="center"/>
    </xf>
    <xf numFmtId="0" fontId="15" fillId="0" borderId="32" xfId="0" applyFont="1" applyBorder="1" applyAlignment="1">
      <alignment horizontal="center" vertical="center" wrapText="1"/>
    </xf>
    <xf numFmtId="0" fontId="15" fillId="0" borderId="16" xfId="0" applyFont="1" applyBorder="1" applyAlignment="1">
      <alignment horizontal="center" vertical="center" wrapText="1"/>
    </xf>
    <xf numFmtId="0" fontId="15" fillId="0" borderId="14" xfId="0" applyFont="1" applyBorder="1" applyAlignment="1">
      <alignment horizontal="center" vertical="center" wrapText="1"/>
    </xf>
    <xf numFmtId="0" fontId="15" fillId="0" borderId="67" xfId="0" applyFont="1" applyBorder="1" applyAlignment="1">
      <alignment horizontal="center" vertical="center" wrapText="1"/>
    </xf>
    <xf numFmtId="0" fontId="15" fillId="0" borderId="13" xfId="0" applyFont="1" applyBorder="1" applyAlignment="1">
      <alignment horizontal="center" vertical="center" wrapText="1"/>
    </xf>
    <xf numFmtId="0" fontId="15" fillId="0" borderId="15" xfId="0" applyFont="1" applyBorder="1" applyAlignment="1">
      <alignment horizontal="center" vertical="center" wrapText="1"/>
    </xf>
    <xf numFmtId="1" fontId="15" fillId="0" borderId="56" xfId="0" applyNumberFormat="1" applyFont="1" applyBorder="1" applyAlignment="1">
      <alignment horizontal="center" vertical="center" textRotation="180"/>
    </xf>
    <xf numFmtId="1" fontId="15" fillId="0" borderId="48" xfId="0" applyNumberFormat="1" applyFont="1" applyBorder="1" applyAlignment="1">
      <alignment horizontal="center" vertical="center" textRotation="180"/>
    </xf>
    <xf numFmtId="0" fontId="19" fillId="0" borderId="10" xfId="0" applyFont="1" applyBorder="1" applyAlignment="1">
      <alignment horizontal="center" vertical="center"/>
    </xf>
    <xf numFmtId="0" fontId="19" fillId="0" borderId="11" xfId="0" applyFont="1" applyBorder="1" applyAlignment="1">
      <alignment horizontal="center" vertical="center"/>
    </xf>
    <xf numFmtId="0" fontId="19" fillId="0" borderId="5" xfId="0" applyFont="1" applyBorder="1" applyAlignment="1">
      <alignment horizontal="center" vertical="center"/>
    </xf>
    <xf numFmtId="0" fontId="15" fillId="0" borderId="65" xfId="0" applyFont="1" applyBorder="1" applyAlignment="1">
      <alignment horizontal="left" vertical="center"/>
    </xf>
    <xf numFmtId="0" fontId="15" fillId="0" borderId="13" xfId="0" applyFont="1" applyBorder="1" applyAlignment="1">
      <alignment horizontal="left" vertical="center"/>
    </xf>
    <xf numFmtId="0" fontId="15" fillId="2" borderId="0" xfId="0" applyFont="1" applyFill="1" applyBorder="1" applyAlignment="1">
      <alignment horizontal="center" vertical="center"/>
    </xf>
    <xf numFmtId="0" fontId="15" fillId="2" borderId="0" xfId="0" applyFont="1" applyFill="1" applyBorder="1" applyAlignment="1" applyProtection="1">
      <alignment horizontal="center" vertical="center"/>
    </xf>
    <xf numFmtId="0" fontId="15" fillId="0" borderId="13" xfId="0" applyFont="1" applyFill="1" applyBorder="1" applyAlignment="1">
      <alignment horizontal="center" vertical="center"/>
    </xf>
    <xf numFmtId="0" fontId="15" fillId="0" borderId="48" xfId="0" applyFont="1" applyFill="1" applyBorder="1" applyAlignment="1">
      <alignment horizontal="center" vertical="center"/>
    </xf>
    <xf numFmtId="0" fontId="15" fillId="0" borderId="16" xfId="0" applyFont="1" applyBorder="1" applyAlignment="1">
      <alignment horizontal="left" vertical="top"/>
    </xf>
    <xf numFmtId="0" fontId="15" fillId="0" borderId="13" xfId="0" applyFont="1" applyBorder="1" applyAlignment="1">
      <alignment horizontal="left" vertical="top"/>
    </xf>
    <xf numFmtId="0" fontId="14" fillId="0" borderId="0" xfId="0" applyFont="1" applyAlignment="1">
      <alignment horizontal="left" vertical="center"/>
    </xf>
    <xf numFmtId="0" fontId="14" fillId="0" borderId="7" xfId="0" applyFont="1" applyBorder="1" applyAlignment="1">
      <alignment horizontal="left" vertical="center"/>
    </xf>
    <xf numFmtId="0" fontId="19" fillId="0" borderId="2" xfId="0" applyFont="1" applyBorder="1" applyAlignment="1">
      <alignment horizontal="left" vertical="top"/>
    </xf>
    <xf numFmtId="0" fontId="15" fillId="0" borderId="8" xfId="0" applyFont="1" applyBorder="1" applyAlignment="1">
      <alignment horizontal="center"/>
    </xf>
    <xf numFmtId="0" fontId="15" fillId="0" borderId="0" xfId="0" applyFont="1" applyBorder="1" applyAlignment="1">
      <alignment horizontal="center"/>
    </xf>
    <xf numFmtId="0" fontId="15" fillId="0" borderId="9" xfId="0" applyFont="1" applyBorder="1" applyAlignment="1">
      <alignment horizontal="center"/>
    </xf>
    <xf numFmtId="0" fontId="23" fillId="2" borderId="0" xfId="0" applyFont="1" applyFill="1" applyBorder="1" applyAlignment="1" applyProtection="1">
      <alignment horizontal="left" vertical="top" wrapText="1"/>
      <protection locked="0"/>
    </xf>
    <xf numFmtId="0" fontId="23" fillId="2" borderId="0" xfId="0" applyFont="1" applyFill="1" applyBorder="1" applyAlignment="1" applyProtection="1">
      <alignment horizontal="left" vertical="top"/>
      <protection locked="0"/>
    </xf>
    <xf numFmtId="0" fontId="23" fillId="2" borderId="13" xfId="0" applyFont="1" applyFill="1" applyBorder="1" applyAlignment="1" applyProtection="1">
      <alignment horizontal="center" vertical="center"/>
      <protection locked="0"/>
    </xf>
    <xf numFmtId="0" fontId="16" fillId="2" borderId="13" xfId="0" applyFont="1" applyFill="1" applyBorder="1" applyAlignment="1" applyProtection="1">
      <alignment horizontal="center" vertical="center"/>
      <protection locked="0"/>
    </xf>
    <xf numFmtId="0" fontId="19" fillId="0" borderId="0" xfId="0" applyFont="1" applyBorder="1" applyAlignment="1" applyProtection="1">
      <alignment horizontal="center" vertical="center"/>
    </xf>
    <xf numFmtId="0" fontId="19" fillId="0" borderId="9" xfId="0" applyFont="1" applyBorder="1" applyAlignment="1" applyProtection="1">
      <alignment horizontal="center" vertical="center"/>
    </xf>
    <xf numFmtId="0" fontId="23" fillId="2" borderId="67" xfId="0" applyFont="1" applyFill="1" applyBorder="1" applyAlignment="1" applyProtection="1">
      <alignment horizontal="center" vertical="center"/>
      <protection locked="0"/>
    </xf>
    <xf numFmtId="0" fontId="23" fillId="2" borderId="15" xfId="0" applyFont="1" applyFill="1" applyBorder="1" applyAlignment="1" applyProtection="1">
      <alignment horizontal="center" vertical="center"/>
      <protection locked="0"/>
    </xf>
    <xf numFmtId="0" fontId="15" fillId="0" borderId="1" xfId="0" applyFont="1" applyBorder="1" applyAlignment="1">
      <alignment horizontal="left" vertical="center"/>
    </xf>
    <xf numFmtId="0" fontId="15" fillId="0" borderId="6" xfId="0" applyFont="1" applyBorder="1" applyAlignment="1">
      <alignment horizontal="left" vertical="center"/>
    </xf>
    <xf numFmtId="0" fontId="15" fillId="0" borderId="27" xfId="0" applyFont="1" applyBorder="1" applyAlignment="1">
      <alignment horizontal="left" vertical="center"/>
    </xf>
    <xf numFmtId="0" fontId="23" fillId="0" borderId="46" xfId="0" applyFont="1" applyBorder="1" applyAlignment="1" applyProtection="1">
      <alignment horizontal="left" vertical="center"/>
    </xf>
    <xf numFmtId="0" fontId="23" fillId="0" borderId="37" xfId="0" applyFont="1" applyBorder="1" applyAlignment="1" applyProtection="1">
      <alignment horizontal="left" vertical="center"/>
    </xf>
    <xf numFmtId="0" fontId="15" fillId="0" borderId="66" xfId="0" applyFont="1" applyBorder="1" applyAlignment="1">
      <alignment horizontal="left" vertical="top"/>
    </xf>
    <xf numFmtId="0" fontId="15" fillId="0" borderId="65" xfId="0" applyFont="1" applyBorder="1" applyAlignment="1">
      <alignment horizontal="left" vertical="top"/>
    </xf>
    <xf numFmtId="0" fontId="15" fillId="0" borderId="8" xfId="0" applyFont="1" applyBorder="1" applyAlignment="1">
      <alignment horizontal="left" vertical="center"/>
    </xf>
    <xf numFmtId="0" fontId="19" fillId="2" borderId="0" xfId="0" applyFont="1" applyFill="1" applyBorder="1" applyAlignment="1" applyProtection="1">
      <alignment horizontal="left" vertical="center"/>
      <protection locked="0"/>
    </xf>
    <xf numFmtId="0" fontId="15" fillId="2" borderId="6" xfId="0" applyFont="1" applyFill="1" applyBorder="1" applyAlignment="1" applyProtection="1">
      <alignment horizontal="left" vertical="center"/>
      <protection locked="0"/>
    </xf>
    <xf numFmtId="0" fontId="15" fillId="2" borderId="0" xfId="0" applyFont="1" applyFill="1" applyBorder="1" applyAlignment="1" applyProtection="1">
      <alignment horizontal="left" vertical="center"/>
      <protection locked="0"/>
    </xf>
    <xf numFmtId="0" fontId="16" fillId="0" borderId="34" xfId="0" applyFont="1" applyBorder="1" applyAlignment="1">
      <alignment horizontal="center" vertical="center"/>
    </xf>
    <xf numFmtId="0" fontId="16" fillId="0" borderId="35" xfId="0" applyFont="1" applyBorder="1" applyAlignment="1">
      <alignment horizontal="center" vertical="center"/>
    </xf>
    <xf numFmtId="0" fontId="16" fillId="0" borderId="47" xfId="0" applyFont="1" applyBorder="1" applyAlignment="1">
      <alignment horizontal="center" vertical="center"/>
    </xf>
    <xf numFmtId="0" fontId="15" fillId="0" borderId="64" xfId="0" applyFont="1" applyBorder="1" applyAlignment="1" applyProtection="1">
      <alignment horizontal="left" vertical="center"/>
    </xf>
    <xf numFmtId="0" fontId="15" fillId="0" borderId="37" xfId="0" applyFont="1" applyBorder="1" applyAlignment="1" applyProtection="1">
      <alignment horizontal="left" vertical="center"/>
    </xf>
    <xf numFmtId="0" fontId="15" fillId="0" borderId="3" xfId="0" applyFont="1" applyFill="1" applyBorder="1" applyAlignment="1">
      <alignment horizontal="left" vertical="center"/>
    </xf>
    <xf numFmtId="0" fontId="15" fillId="0" borderId="7" xfId="0" applyFont="1" applyFill="1" applyBorder="1" applyAlignment="1">
      <alignment horizontal="left" vertical="center"/>
    </xf>
    <xf numFmtId="0" fontId="15" fillId="0" borderId="31" xfId="0" applyFont="1" applyFill="1" applyBorder="1" applyAlignment="1">
      <alignment horizontal="left" vertical="center"/>
    </xf>
    <xf numFmtId="0" fontId="23" fillId="2" borderId="13" xfId="0" applyFont="1" applyFill="1" applyBorder="1" applyAlignment="1" applyProtection="1">
      <alignment horizontal="left" vertical="center"/>
      <protection locked="0"/>
    </xf>
    <xf numFmtId="16" fontId="15" fillId="0" borderId="13" xfId="0" applyNumberFormat="1" applyFont="1" applyBorder="1" applyAlignment="1">
      <alignment horizontal="center" vertical="center" textRotation="180"/>
    </xf>
    <xf numFmtId="0" fontId="16" fillId="0" borderId="28" xfId="0" applyFont="1" applyBorder="1" applyAlignment="1">
      <alignment horizontal="center" vertical="center"/>
    </xf>
    <xf numFmtId="0" fontId="16" fillId="0" borderId="23" xfId="0" applyFont="1" applyBorder="1" applyAlignment="1">
      <alignment horizontal="center" vertical="center"/>
    </xf>
    <xf numFmtId="0" fontId="16" fillId="0" borderId="24" xfId="0" applyFont="1" applyBorder="1" applyAlignment="1">
      <alignment horizontal="center" vertical="center"/>
    </xf>
    <xf numFmtId="14" fontId="23" fillId="2" borderId="16" xfId="0" applyNumberFormat="1" applyFont="1" applyFill="1" applyBorder="1" applyAlignment="1" applyProtection="1">
      <alignment horizontal="center" vertical="center"/>
      <protection locked="0"/>
    </xf>
    <xf numFmtId="14" fontId="23" fillId="2" borderId="13" xfId="0" applyNumberFormat="1" applyFont="1" applyFill="1" applyBorder="1" applyAlignment="1" applyProtection="1">
      <alignment horizontal="center" vertical="center"/>
      <protection locked="0"/>
    </xf>
    <xf numFmtId="0" fontId="15" fillId="2" borderId="16" xfId="0" applyFont="1" applyFill="1" applyBorder="1" applyAlignment="1" applyProtection="1">
      <alignment horizontal="center" vertical="top"/>
      <protection locked="0"/>
    </xf>
    <xf numFmtId="0" fontId="15" fillId="2" borderId="56" xfId="0" applyFont="1" applyFill="1" applyBorder="1" applyAlignment="1" applyProtection="1">
      <alignment horizontal="center" vertical="top"/>
      <protection locked="0"/>
    </xf>
    <xf numFmtId="0" fontId="15" fillId="2" borderId="13" xfId="0" applyFont="1" applyFill="1" applyBorder="1" applyAlignment="1" applyProtection="1">
      <alignment horizontal="center" vertical="top"/>
      <protection locked="0"/>
    </xf>
    <xf numFmtId="0" fontId="15" fillId="2" borderId="48" xfId="0" applyFont="1" applyFill="1" applyBorder="1" applyAlignment="1" applyProtection="1">
      <alignment horizontal="center" vertical="top"/>
      <protection locked="0"/>
    </xf>
    <xf numFmtId="0" fontId="23" fillId="2" borderId="16" xfId="0" applyFont="1" applyFill="1" applyBorder="1" applyAlignment="1" applyProtection="1">
      <alignment horizontal="left" vertical="center" wrapText="1"/>
      <protection locked="0"/>
    </xf>
    <xf numFmtId="0" fontId="23" fillId="2" borderId="13" xfId="0" applyFont="1" applyFill="1" applyBorder="1" applyAlignment="1" applyProtection="1">
      <alignment horizontal="left" vertical="center" wrapText="1"/>
      <protection locked="0"/>
    </xf>
    <xf numFmtId="0" fontId="15" fillId="0" borderId="26" xfId="0" applyFont="1" applyBorder="1" applyAlignment="1">
      <alignment horizontal="left" vertical="center"/>
    </xf>
    <xf numFmtId="0" fontId="15" fillId="0" borderId="2" xfId="0" applyFont="1" applyBorder="1" applyAlignment="1">
      <alignment horizontal="left" vertical="center"/>
    </xf>
    <xf numFmtId="0" fontId="23" fillId="2" borderId="48" xfId="0" applyFont="1" applyFill="1" applyBorder="1" applyAlignment="1" applyProtection="1">
      <alignment horizontal="center" vertical="center"/>
      <protection locked="0"/>
    </xf>
    <xf numFmtId="0" fontId="15" fillId="0" borderId="16" xfId="0" applyFont="1" applyBorder="1" applyAlignment="1">
      <alignment horizontal="left" vertical="center"/>
    </xf>
    <xf numFmtId="0" fontId="15" fillId="0" borderId="3" xfId="0" applyFont="1" applyBorder="1" applyAlignment="1">
      <alignment horizontal="left" vertical="top"/>
    </xf>
    <xf numFmtId="0" fontId="15" fillId="0" borderId="7" xfId="0" applyFont="1" applyBorder="1" applyAlignment="1">
      <alignment horizontal="left" vertical="top"/>
    </xf>
    <xf numFmtId="0" fontId="15" fillId="0" borderId="32" xfId="0" applyFont="1" applyBorder="1" applyAlignment="1">
      <alignment horizontal="left" vertical="top"/>
    </xf>
    <xf numFmtId="0" fontId="15" fillId="0" borderId="30" xfId="0" applyFont="1" applyBorder="1" applyAlignment="1">
      <alignment horizontal="left" vertical="top"/>
    </xf>
    <xf numFmtId="0" fontId="23" fillId="2" borderId="16" xfId="0" applyFont="1" applyFill="1" applyBorder="1" applyAlignment="1" applyProtection="1">
      <alignment horizontal="center" vertical="center"/>
      <protection locked="0"/>
    </xf>
    <xf numFmtId="0" fontId="23" fillId="2" borderId="16" xfId="0" applyFont="1" applyFill="1" applyBorder="1" applyAlignment="1" applyProtection="1">
      <alignment horizontal="left" vertical="center"/>
      <protection locked="0"/>
    </xf>
    <xf numFmtId="0" fontId="23" fillId="2" borderId="65" xfId="0" applyFont="1" applyFill="1" applyBorder="1" applyAlignment="1" applyProtection="1">
      <alignment horizontal="center" vertical="center"/>
      <protection locked="0"/>
    </xf>
    <xf numFmtId="0" fontId="39" fillId="0" borderId="33" xfId="0" applyFont="1" applyBorder="1" applyAlignment="1" applyProtection="1">
      <alignment horizontal="center" vertical="center"/>
      <protection locked="0"/>
    </xf>
    <xf numFmtId="0" fontId="39" fillId="0" borderId="11" xfId="0" applyFont="1" applyBorder="1" applyAlignment="1" applyProtection="1">
      <alignment horizontal="center" vertical="center"/>
      <protection locked="0"/>
    </xf>
    <xf numFmtId="0" fontId="39" fillId="0" borderId="33" xfId="0" applyFont="1" applyBorder="1" applyAlignment="1" applyProtection="1">
      <alignment horizontal="center" vertical="center" wrapText="1"/>
      <protection locked="0"/>
    </xf>
    <xf numFmtId="0" fontId="39" fillId="0" borderId="11" xfId="0" applyFont="1" applyBorder="1" applyAlignment="1" applyProtection="1">
      <alignment horizontal="center" vertical="center" wrapText="1"/>
      <protection locked="0"/>
    </xf>
    <xf numFmtId="0" fontId="39" fillId="0" borderId="10" xfId="0" applyFont="1" applyBorder="1" applyAlignment="1">
      <alignment horizontal="left" vertical="center"/>
    </xf>
    <xf numFmtId="0" fontId="39" fillId="0" borderId="11" xfId="0" applyFont="1" applyBorder="1" applyAlignment="1">
      <alignment horizontal="left" vertical="center"/>
    </xf>
    <xf numFmtId="0" fontId="39" fillId="0" borderId="68" xfId="0" applyFont="1" applyBorder="1" applyAlignment="1">
      <alignment horizontal="left" vertical="center"/>
    </xf>
    <xf numFmtId="0" fontId="23" fillId="2" borderId="16" xfId="0" applyFont="1" applyFill="1" applyBorder="1" applyAlignment="1" applyProtection="1">
      <alignment horizontal="left" vertical="top" wrapText="1"/>
      <protection locked="0"/>
    </xf>
    <xf numFmtId="0" fontId="23" fillId="2" borderId="16" xfId="0" applyFont="1" applyFill="1" applyBorder="1" applyAlignment="1" applyProtection="1">
      <alignment horizontal="left" vertical="top"/>
      <protection locked="0"/>
    </xf>
    <xf numFmtId="0" fontId="23" fillId="2" borderId="14" xfId="0" applyFont="1" applyFill="1" applyBorder="1" applyAlignment="1" applyProtection="1">
      <alignment horizontal="left" vertical="top"/>
      <protection locked="0"/>
    </xf>
    <xf numFmtId="0" fontId="23" fillId="2" borderId="7" xfId="0" applyFont="1" applyFill="1" applyBorder="1" applyAlignment="1" applyProtection="1">
      <alignment horizontal="left" vertical="top"/>
      <protection locked="0"/>
    </xf>
    <xf numFmtId="0" fontId="23" fillId="2" borderId="31" xfId="0" applyFont="1" applyFill="1" applyBorder="1" applyAlignment="1" applyProtection="1">
      <alignment horizontal="left" vertical="top"/>
      <protection locked="0"/>
    </xf>
    <xf numFmtId="0" fontId="23" fillId="2" borderId="0" xfId="0" applyFont="1" applyFill="1" applyBorder="1" applyAlignment="1" applyProtection="1">
      <alignment horizontal="center" vertical="center"/>
      <protection locked="0"/>
    </xf>
    <xf numFmtId="0" fontId="23" fillId="2" borderId="9" xfId="0" applyFont="1" applyFill="1" applyBorder="1" applyAlignment="1" applyProtection="1">
      <alignment horizontal="center" vertical="center"/>
      <protection locked="0"/>
    </xf>
    <xf numFmtId="0" fontId="23" fillId="2" borderId="7" xfId="0" applyFont="1" applyFill="1" applyBorder="1" applyAlignment="1" applyProtection="1">
      <alignment horizontal="center" vertical="center"/>
      <protection locked="0"/>
    </xf>
    <xf numFmtId="0" fontId="23" fillId="2" borderId="4" xfId="0" applyFont="1" applyFill="1" applyBorder="1" applyAlignment="1" applyProtection="1">
      <alignment horizontal="center" vertical="center"/>
      <protection locked="0"/>
    </xf>
    <xf numFmtId="0" fontId="39" fillId="0" borderId="68" xfId="0" applyFont="1" applyBorder="1" applyAlignment="1" applyProtection="1">
      <alignment horizontal="center" vertical="center"/>
      <protection locked="0"/>
    </xf>
    <xf numFmtId="0" fontId="39" fillId="0" borderId="5" xfId="0" applyFont="1" applyBorder="1" applyAlignment="1" applyProtection="1">
      <alignment horizontal="center" vertical="center"/>
      <protection locked="0"/>
    </xf>
    <xf numFmtId="0" fontId="23" fillId="2" borderId="14" xfId="0" applyFont="1" applyFill="1" applyBorder="1" applyAlignment="1" applyProtection="1">
      <alignment horizontal="center" vertical="center"/>
      <protection locked="0"/>
    </xf>
    <xf numFmtId="0" fontId="23" fillId="2" borderId="31" xfId="0" applyFont="1" applyFill="1" applyBorder="1" applyAlignment="1" applyProtection="1">
      <alignment horizontal="center" vertical="center"/>
      <protection locked="0"/>
    </xf>
    <xf numFmtId="0" fontId="21" fillId="0" borderId="0" xfId="0" applyFont="1" applyBorder="1" applyAlignment="1" applyProtection="1">
      <alignment horizontal="center" vertical="center"/>
    </xf>
    <xf numFmtId="0" fontId="15" fillId="2" borderId="35" xfId="0" applyFont="1" applyFill="1" applyBorder="1" applyAlignment="1" applyProtection="1">
      <alignment horizontal="left" vertical="center"/>
      <protection locked="0"/>
    </xf>
    <xf numFmtId="0" fontId="15" fillId="2" borderId="36" xfId="0" applyFont="1" applyFill="1" applyBorder="1" applyAlignment="1" applyProtection="1">
      <alignment horizontal="left" vertical="center"/>
      <protection locked="0"/>
    </xf>
    <xf numFmtId="0" fontId="15" fillId="2" borderId="23" xfId="0" applyFont="1" applyFill="1" applyBorder="1" applyAlignment="1" applyProtection="1">
      <alignment horizontal="left" vertical="center"/>
      <protection locked="0"/>
    </xf>
    <xf numFmtId="0" fontId="15" fillId="2" borderId="29" xfId="0" applyFont="1" applyFill="1" applyBorder="1" applyAlignment="1" applyProtection="1">
      <alignment horizontal="left" vertical="center"/>
      <protection locked="0"/>
    </xf>
    <xf numFmtId="0" fontId="15" fillId="2" borderId="37" xfId="0" applyFont="1" applyFill="1" applyBorder="1" applyAlignment="1" applyProtection="1">
      <alignment horizontal="left" vertical="center"/>
      <protection locked="0"/>
    </xf>
    <xf numFmtId="0" fontId="15" fillId="2" borderId="38" xfId="0" applyFont="1" applyFill="1" applyBorder="1" applyAlignment="1" applyProtection="1">
      <alignment horizontal="left" vertical="center"/>
      <protection locked="0"/>
    </xf>
    <xf numFmtId="0" fontId="23" fillId="2" borderId="35" xfId="0" applyFont="1" applyFill="1" applyBorder="1" applyAlignment="1" applyProtection="1">
      <alignment horizontal="left" vertical="center"/>
      <protection locked="0"/>
    </xf>
    <xf numFmtId="0" fontId="23" fillId="2" borderId="47" xfId="0" applyFont="1" applyFill="1" applyBorder="1" applyAlignment="1" applyProtection="1">
      <alignment horizontal="left" vertical="center"/>
      <protection locked="0"/>
    </xf>
    <xf numFmtId="0" fontId="23" fillId="2" borderId="37" xfId="0" applyFont="1" applyFill="1" applyBorder="1" applyAlignment="1" applyProtection="1">
      <alignment horizontal="left" vertical="center"/>
      <protection locked="0"/>
    </xf>
    <xf numFmtId="0" fontId="23" fillId="2" borderId="49" xfId="0" applyFont="1" applyFill="1" applyBorder="1" applyAlignment="1" applyProtection="1">
      <alignment horizontal="left" vertical="center"/>
      <protection locked="0"/>
    </xf>
    <xf numFmtId="0" fontId="19" fillId="0" borderId="10" xfId="0" applyFont="1" applyBorder="1" applyAlignment="1">
      <alignment horizontal="left" vertical="center"/>
    </xf>
    <xf numFmtId="0" fontId="19" fillId="0" borderId="11" xfId="0" applyFont="1" applyBorder="1" applyAlignment="1">
      <alignment horizontal="left" vertical="center"/>
    </xf>
    <xf numFmtId="0" fontId="19" fillId="0" borderId="5" xfId="0" applyFont="1" applyBorder="1" applyAlignment="1">
      <alignment horizontal="left" vertical="center"/>
    </xf>
    <xf numFmtId="0" fontId="15" fillId="0" borderId="0" xfId="0" applyFont="1" applyFill="1" applyAlignment="1">
      <alignment horizontal="left" vertical="center"/>
    </xf>
    <xf numFmtId="0" fontId="15" fillId="0" borderId="9" xfId="0" applyFont="1" applyFill="1" applyBorder="1" applyAlignment="1">
      <alignment horizontal="left" vertical="center"/>
    </xf>
    <xf numFmtId="0" fontId="15" fillId="0" borderId="0" xfId="0" applyFont="1" applyAlignment="1">
      <alignment horizontal="center"/>
    </xf>
    <xf numFmtId="0" fontId="15" fillId="0" borderId="6" xfId="0" applyFont="1" applyBorder="1" applyAlignment="1">
      <alignment horizontal="left"/>
    </xf>
    <xf numFmtId="0" fontId="15" fillId="0" borderId="0" xfId="0" applyFont="1" applyBorder="1" applyAlignment="1">
      <alignment horizontal="left"/>
    </xf>
    <xf numFmtId="0" fontId="15" fillId="2" borderId="9" xfId="0" applyFont="1" applyFill="1" applyBorder="1" applyAlignment="1" applyProtection="1">
      <alignment horizontal="left" vertical="center"/>
      <protection locked="0"/>
    </xf>
    <xf numFmtId="0" fontId="23" fillId="2" borderId="36" xfId="0" applyFont="1" applyFill="1" applyBorder="1" applyAlignment="1" applyProtection="1">
      <alignment horizontal="left" vertical="center"/>
      <protection locked="0"/>
    </xf>
    <xf numFmtId="0" fontId="23" fillId="2" borderId="29" xfId="0" applyFont="1" applyFill="1" applyBorder="1" applyAlignment="1" applyProtection="1">
      <alignment horizontal="left" vertical="center"/>
      <protection locked="0"/>
    </xf>
    <xf numFmtId="0" fontId="23" fillId="2" borderId="38" xfId="0" applyFont="1" applyFill="1" applyBorder="1" applyAlignment="1" applyProtection="1">
      <alignment horizontal="left" vertical="center"/>
      <protection locked="0"/>
    </xf>
    <xf numFmtId="0" fontId="27" fillId="0" borderId="0" xfId="0" applyFont="1" applyBorder="1" applyAlignment="1">
      <alignment horizontal="left" vertical="center"/>
    </xf>
    <xf numFmtId="0" fontId="25" fillId="2" borderId="71" xfId="0" applyFont="1" applyFill="1" applyBorder="1" applyAlignment="1" applyProtection="1">
      <alignment horizontal="left" vertical="center"/>
      <protection locked="0"/>
    </xf>
    <xf numFmtId="0" fontId="25" fillId="2" borderId="72" xfId="0" applyFont="1" applyFill="1" applyBorder="1" applyAlignment="1" applyProtection="1">
      <alignment horizontal="left" vertical="center"/>
      <protection locked="0"/>
    </xf>
    <xf numFmtId="0" fontId="27" fillId="0" borderId="9" xfId="0" applyFont="1" applyBorder="1" applyAlignment="1">
      <alignment horizontal="left" vertical="center"/>
    </xf>
    <xf numFmtId="164" fontId="25" fillId="2" borderId="85" xfId="0" applyNumberFormat="1" applyFont="1" applyFill="1" applyBorder="1" applyAlignment="1" applyProtection="1">
      <alignment horizontal="center" vertical="center"/>
      <protection locked="0"/>
    </xf>
    <xf numFmtId="164" fontId="25" fillId="2" borderId="61" xfId="0" applyNumberFormat="1" applyFont="1" applyFill="1" applyBorder="1" applyAlignment="1" applyProtection="1">
      <alignment horizontal="center" vertical="center"/>
      <protection locked="0"/>
    </xf>
    <xf numFmtId="164" fontId="25" fillId="2" borderId="86" xfId="0" applyNumberFormat="1" applyFont="1" applyFill="1" applyBorder="1" applyAlignment="1" applyProtection="1">
      <alignment horizontal="center" vertical="center"/>
      <protection locked="0"/>
    </xf>
    <xf numFmtId="164" fontId="25" fillId="2" borderId="8" xfId="0" applyNumberFormat="1" applyFont="1" applyFill="1" applyBorder="1" applyAlignment="1" applyProtection="1">
      <alignment horizontal="center" vertical="center"/>
      <protection locked="0"/>
    </xf>
    <xf numFmtId="164" fontId="25" fillId="2" borderId="0" xfId="0" applyNumberFormat="1" applyFont="1" applyFill="1" applyBorder="1" applyAlignment="1" applyProtection="1">
      <alignment horizontal="center" vertical="center"/>
      <protection locked="0"/>
    </xf>
    <xf numFmtId="164" fontId="25" fillId="2" borderId="9" xfId="0" applyNumberFormat="1" applyFont="1" applyFill="1" applyBorder="1" applyAlignment="1" applyProtection="1">
      <alignment horizontal="center" vertical="center"/>
      <protection locked="0"/>
    </xf>
    <xf numFmtId="164" fontId="25" fillId="2" borderId="84" xfId="0" applyNumberFormat="1" applyFont="1" applyFill="1" applyBorder="1" applyAlignment="1" applyProtection="1">
      <alignment horizontal="center" vertical="center"/>
      <protection locked="0"/>
    </xf>
    <xf numFmtId="164" fontId="25" fillId="2" borderId="52" xfId="0" applyNumberFormat="1" applyFont="1" applyFill="1" applyBorder="1" applyAlignment="1" applyProtection="1">
      <alignment horizontal="center" vertical="center"/>
      <protection locked="0"/>
    </xf>
    <xf numFmtId="164" fontId="25" fillId="2" borderId="53" xfId="0" applyNumberFormat="1" applyFont="1" applyFill="1" applyBorder="1" applyAlignment="1" applyProtection="1">
      <alignment horizontal="center" vertical="center"/>
      <protection locked="0"/>
    </xf>
    <xf numFmtId="0" fontId="25" fillId="2" borderId="8" xfId="0" applyFont="1" applyFill="1" applyBorder="1" applyAlignment="1" applyProtection="1">
      <alignment horizontal="left" vertical="top"/>
      <protection locked="0"/>
    </xf>
    <xf numFmtId="0" fontId="25" fillId="2" borderId="0" xfId="0" applyFont="1" applyFill="1" applyBorder="1" applyAlignment="1" applyProtection="1">
      <alignment horizontal="left" vertical="top"/>
      <protection locked="0"/>
    </xf>
    <xf numFmtId="0" fontId="25" fillId="2" borderId="9" xfId="0" applyFont="1" applyFill="1" applyBorder="1" applyAlignment="1" applyProtection="1">
      <alignment horizontal="left" vertical="top"/>
      <protection locked="0"/>
    </xf>
    <xf numFmtId="0" fontId="29" fillId="0" borderId="1" xfId="0" applyFont="1" applyFill="1" applyBorder="1" applyAlignment="1">
      <alignment horizontal="left" vertical="center"/>
    </xf>
    <xf numFmtId="0" fontId="29" fillId="0" borderId="6" xfId="0" applyFont="1" applyFill="1" applyBorder="1" applyAlignment="1">
      <alignment horizontal="left" vertical="center"/>
    </xf>
    <xf numFmtId="0" fontId="29" fillId="0" borderId="2" xfId="0" applyFont="1" applyFill="1" applyBorder="1" applyAlignment="1">
      <alignment horizontal="left" vertical="center"/>
    </xf>
    <xf numFmtId="0" fontId="30" fillId="0" borderId="73" xfId="0" applyFont="1" applyBorder="1" applyAlignment="1">
      <alignment horizontal="left" vertical="top"/>
    </xf>
    <xf numFmtId="0" fontId="25" fillId="2" borderId="73" xfId="0" applyFont="1" applyFill="1" applyBorder="1" applyAlignment="1" applyProtection="1">
      <alignment horizontal="center" vertical="center"/>
      <protection locked="0"/>
    </xf>
    <xf numFmtId="0" fontId="25" fillId="2" borderId="78" xfId="0" applyFont="1" applyFill="1" applyBorder="1" applyAlignment="1" applyProtection="1">
      <alignment horizontal="center" vertical="center"/>
      <protection locked="0"/>
    </xf>
    <xf numFmtId="14" fontId="25" fillId="2" borderId="73" xfId="0" applyNumberFormat="1" applyFont="1" applyFill="1" applyBorder="1" applyAlignment="1" applyProtection="1">
      <alignment horizontal="center" vertical="center"/>
      <protection locked="0"/>
    </xf>
    <xf numFmtId="0" fontId="29" fillId="0" borderId="7" xfId="0" applyFont="1" applyBorder="1" applyAlignment="1">
      <alignment horizontal="left" vertical="center"/>
    </xf>
    <xf numFmtId="0" fontId="29" fillId="0" borderId="4" xfId="0" applyFont="1" applyBorder="1" applyAlignment="1">
      <alignment horizontal="left" vertical="center"/>
    </xf>
    <xf numFmtId="0" fontId="30" fillId="0" borderId="77" xfId="0" applyFont="1" applyBorder="1" applyAlignment="1">
      <alignment horizontal="left" vertical="center"/>
    </xf>
    <xf numFmtId="0" fontId="30" fillId="0" borderId="70" xfId="0" applyFont="1" applyBorder="1" applyAlignment="1">
      <alignment horizontal="left" vertical="center"/>
    </xf>
    <xf numFmtId="0" fontId="30" fillId="0" borderId="76" xfId="0" applyFont="1" applyBorder="1" applyAlignment="1">
      <alignment horizontal="left" vertical="center"/>
    </xf>
    <xf numFmtId="0" fontId="30" fillId="0" borderId="71" xfId="0" applyFont="1" applyBorder="1" applyAlignment="1">
      <alignment horizontal="left" vertical="center"/>
    </xf>
    <xf numFmtId="0" fontId="30" fillId="0" borderId="74" xfId="0" applyFont="1" applyBorder="1" applyAlignment="1">
      <alignment horizontal="left" vertical="center"/>
    </xf>
    <xf numFmtId="0" fontId="30" fillId="0" borderId="75" xfId="0" applyFont="1" applyBorder="1" applyAlignment="1">
      <alignment horizontal="left" vertical="center"/>
    </xf>
    <xf numFmtId="0" fontId="25" fillId="2" borderId="70" xfId="0" applyFont="1" applyFill="1" applyBorder="1" applyAlignment="1" applyProtection="1">
      <alignment horizontal="left" vertical="center"/>
      <protection locked="0"/>
    </xf>
    <xf numFmtId="0" fontId="25" fillId="2" borderId="69" xfId="0" applyFont="1" applyFill="1" applyBorder="1" applyAlignment="1" applyProtection="1">
      <alignment horizontal="left" vertical="center"/>
      <protection locked="0"/>
    </xf>
    <xf numFmtId="0" fontId="30" fillId="0" borderId="3" xfId="0" applyFont="1" applyBorder="1" applyAlignment="1">
      <alignment horizontal="left" vertical="top"/>
    </xf>
    <xf numFmtId="0" fontId="30" fillId="0" borderId="7" xfId="0" applyFont="1" applyBorder="1" applyAlignment="1">
      <alignment horizontal="left" vertical="top"/>
    </xf>
    <xf numFmtId="0" fontId="26" fillId="0" borderId="0" xfId="0" applyFont="1" applyAlignment="1">
      <alignment horizontal="left" vertical="center"/>
    </xf>
    <xf numFmtId="0" fontId="26" fillId="0" borderId="7" xfId="0" applyFont="1" applyBorder="1" applyAlignment="1">
      <alignment horizontal="left" vertical="center"/>
    </xf>
    <xf numFmtId="0" fontId="30" fillId="0" borderId="22" xfId="0" applyFont="1" applyBorder="1" applyAlignment="1">
      <alignment horizontal="left" vertical="center"/>
    </xf>
    <xf numFmtId="0" fontId="30" fillId="0" borderId="23" xfId="0" applyFont="1" applyBorder="1" applyAlignment="1">
      <alignment horizontal="left" vertical="center"/>
    </xf>
    <xf numFmtId="0" fontId="30" fillId="0" borderId="66" xfId="0" applyFont="1" applyBorder="1" applyAlignment="1">
      <alignment horizontal="left" vertical="center"/>
    </xf>
    <xf numFmtId="0" fontId="30" fillId="0" borderId="16" xfId="0" applyFont="1" applyBorder="1" applyAlignment="1">
      <alignment horizontal="left" vertical="center"/>
    </xf>
    <xf numFmtId="0" fontId="30" fillId="0" borderId="23" xfId="0" applyFont="1" applyBorder="1" applyAlignment="1">
      <alignment horizontal="center" vertical="center"/>
    </xf>
    <xf numFmtId="0" fontId="28" fillId="0" borderId="45" xfId="0" applyFont="1" applyBorder="1" applyAlignment="1">
      <alignment horizontal="left" vertical="center"/>
    </xf>
    <xf numFmtId="0" fontId="28" fillId="0" borderId="35" xfId="0" applyFont="1" applyBorder="1" applyAlignment="1">
      <alignment horizontal="left" vertical="center"/>
    </xf>
    <xf numFmtId="0" fontId="25" fillId="2" borderId="35" xfId="0" applyFont="1" applyFill="1" applyBorder="1" applyAlignment="1" applyProtection="1">
      <alignment horizontal="left" vertical="center" wrapText="1"/>
      <protection locked="0"/>
    </xf>
    <xf numFmtId="0" fontId="25" fillId="2" borderId="47" xfId="0" applyFont="1" applyFill="1" applyBorder="1" applyAlignment="1" applyProtection="1">
      <alignment horizontal="left" vertical="center" wrapText="1"/>
      <protection locked="0"/>
    </xf>
    <xf numFmtId="0" fontId="25" fillId="2" borderId="35" xfId="0" applyFont="1" applyFill="1" applyBorder="1" applyAlignment="1" applyProtection="1">
      <alignment horizontal="left" vertical="center"/>
      <protection locked="0"/>
    </xf>
    <xf numFmtId="0" fontId="25" fillId="2" borderId="47" xfId="0" applyFont="1" applyFill="1" applyBorder="1" applyAlignment="1" applyProtection="1">
      <alignment horizontal="left" vertical="center"/>
      <protection locked="0"/>
    </xf>
    <xf numFmtId="0" fontId="25" fillId="2" borderId="23" xfId="0" applyFont="1" applyFill="1" applyBorder="1" applyAlignment="1" applyProtection="1">
      <alignment horizontal="left" vertical="center"/>
      <protection locked="0"/>
    </xf>
    <xf numFmtId="0" fontId="25" fillId="2" borderId="24" xfId="0" applyFont="1" applyFill="1" applyBorder="1" applyAlignment="1" applyProtection="1">
      <alignment horizontal="left" vertical="center"/>
      <protection locked="0"/>
    </xf>
    <xf numFmtId="0" fontId="25" fillId="2" borderId="23" xfId="0" applyFont="1" applyFill="1" applyBorder="1" applyAlignment="1" applyProtection="1">
      <alignment horizontal="center" vertical="center"/>
      <protection locked="0"/>
    </xf>
    <xf numFmtId="0" fontId="25" fillId="2" borderId="24" xfId="0" applyFont="1" applyFill="1" applyBorder="1" applyAlignment="1" applyProtection="1">
      <alignment horizontal="center" vertical="center"/>
      <protection locked="0"/>
    </xf>
    <xf numFmtId="14" fontId="25" fillId="2" borderId="85" xfId="0" applyNumberFormat="1" applyFont="1" applyFill="1" applyBorder="1" applyAlignment="1" applyProtection="1">
      <alignment horizontal="center" vertical="center"/>
      <protection locked="0"/>
    </xf>
    <xf numFmtId="14" fontId="25" fillId="2" borderId="61" xfId="0" applyNumberFormat="1" applyFont="1" applyFill="1" applyBorder="1" applyAlignment="1" applyProtection="1">
      <alignment horizontal="center" vertical="center"/>
      <protection locked="0"/>
    </xf>
    <xf numFmtId="14" fontId="25" fillId="2" borderId="86" xfId="0" applyNumberFormat="1" applyFont="1" applyFill="1" applyBorder="1" applyAlignment="1" applyProtection="1">
      <alignment horizontal="center" vertical="center"/>
      <protection locked="0"/>
    </xf>
    <xf numFmtId="14" fontId="25" fillId="2" borderId="8" xfId="0" applyNumberFormat="1" applyFont="1" applyFill="1" applyBorder="1" applyAlignment="1" applyProtection="1">
      <alignment horizontal="center" vertical="center"/>
      <protection locked="0"/>
    </xf>
    <xf numFmtId="14" fontId="25" fillId="2" borderId="0" xfId="0" applyNumberFormat="1" applyFont="1" applyFill="1" applyBorder="1" applyAlignment="1" applyProtection="1">
      <alignment horizontal="center" vertical="center"/>
      <protection locked="0"/>
    </xf>
    <xf numFmtId="14" fontId="25" fillId="2" borderId="9" xfId="0" applyNumberFormat="1" applyFont="1" applyFill="1" applyBorder="1" applyAlignment="1" applyProtection="1">
      <alignment horizontal="center" vertical="center"/>
      <protection locked="0"/>
    </xf>
    <xf numFmtId="14" fontId="25" fillId="2" borderId="84" xfId="0" applyNumberFormat="1" applyFont="1" applyFill="1" applyBorder="1" applyAlignment="1" applyProtection="1">
      <alignment horizontal="center" vertical="center"/>
      <protection locked="0"/>
    </xf>
    <xf numFmtId="14" fontId="25" fillId="2" borderId="52" xfId="0" applyNumberFormat="1" applyFont="1" applyFill="1" applyBorder="1" applyAlignment="1" applyProtection="1">
      <alignment horizontal="center" vertical="center"/>
      <protection locked="0"/>
    </xf>
    <xf numFmtId="14" fontId="25" fillId="2" borderId="53" xfId="0" applyNumberFormat="1" applyFont="1" applyFill="1" applyBorder="1" applyAlignment="1" applyProtection="1">
      <alignment horizontal="center" vertical="center"/>
      <protection locked="0"/>
    </xf>
    <xf numFmtId="0" fontId="25" fillId="2" borderId="16" xfId="0" applyFont="1" applyFill="1" applyBorder="1" applyAlignment="1" applyProtection="1">
      <alignment horizontal="left" vertical="center"/>
      <protection locked="0"/>
    </xf>
    <xf numFmtId="0" fontId="25" fillId="2" borderId="56" xfId="0" applyFont="1" applyFill="1" applyBorder="1" applyAlignment="1" applyProtection="1">
      <alignment horizontal="left" vertical="center"/>
      <protection locked="0"/>
    </xf>
    <xf numFmtId="0" fontId="25" fillId="2" borderId="7" xfId="0" applyFont="1" applyFill="1" applyBorder="1" applyAlignment="1" applyProtection="1">
      <alignment horizontal="left" vertical="center"/>
      <protection locked="0"/>
    </xf>
    <xf numFmtId="0" fontId="25" fillId="2" borderId="4" xfId="0" applyFont="1" applyFill="1" applyBorder="1" applyAlignment="1" applyProtection="1">
      <alignment horizontal="left" vertical="center"/>
      <protection locked="0"/>
    </xf>
    <xf numFmtId="0" fontId="30" fillId="0" borderId="3" xfId="0" applyFont="1" applyBorder="1" applyAlignment="1">
      <alignment horizontal="left" vertical="center"/>
    </xf>
    <xf numFmtId="0" fontId="30" fillId="0" borderId="7" xfId="0" applyFont="1" applyBorder="1" applyAlignment="1">
      <alignment horizontal="left" vertical="center"/>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0" borderId="5" xfId="0" applyFont="1" applyBorder="1" applyAlignment="1">
      <alignment horizontal="center" vertical="center" wrapText="1"/>
    </xf>
    <xf numFmtId="0" fontId="29" fillId="0" borderId="10" xfId="0" applyFont="1" applyBorder="1" applyAlignment="1">
      <alignment horizontal="left" vertical="center"/>
    </xf>
    <xf numFmtId="0" fontId="29" fillId="0" borderId="11" xfId="0" applyFont="1" applyBorder="1" applyAlignment="1">
      <alignment horizontal="left" vertical="center"/>
    </xf>
    <xf numFmtId="0" fontId="27" fillId="2" borderId="1" xfId="0" applyFont="1" applyFill="1" applyBorder="1" applyAlignment="1" applyProtection="1">
      <alignment horizontal="center" vertical="center" wrapText="1"/>
      <protection locked="0"/>
    </xf>
    <xf numFmtId="0" fontId="27" fillId="2" borderId="6" xfId="0" applyFont="1" applyFill="1" applyBorder="1" applyAlignment="1" applyProtection="1">
      <alignment horizontal="center" vertical="center" wrapText="1"/>
      <protection locked="0"/>
    </xf>
    <xf numFmtId="0" fontId="27" fillId="2" borderId="2" xfId="0" applyFont="1" applyFill="1" applyBorder="1" applyAlignment="1" applyProtection="1">
      <alignment horizontal="center" vertical="center" wrapText="1"/>
      <protection locked="0"/>
    </xf>
    <xf numFmtId="0" fontId="27" fillId="2" borderId="8" xfId="0" applyFont="1" applyFill="1" applyBorder="1" applyAlignment="1" applyProtection="1">
      <alignment horizontal="center" vertical="center" wrapText="1"/>
      <protection locked="0"/>
    </xf>
    <xf numFmtId="0" fontId="27" fillId="2" borderId="0" xfId="0" applyFont="1" applyFill="1" applyBorder="1" applyAlignment="1" applyProtection="1">
      <alignment horizontal="center" vertical="center" wrapText="1"/>
      <protection locked="0"/>
    </xf>
    <xf numFmtId="0" fontId="27" fillId="2" borderId="9" xfId="0" applyFont="1" applyFill="1" applyBorder="1" applyAlignment="1" applyProtection="1">
      <alignment horizontal="center" vertical="center" wrapText="1"/>
      <protection locked="0"/>
    </xf>
    <xf numFmtId="0" fontId="27" fillId="2" borderId="84" xfId="0" applyFont="1" applyFill="1" applyBorder="1" applyAlignment="1" applyProtection="1">
      <alignment horizontal="center" vertical="center" wrapText="1"/>
      <protection locked="0"/>
    </xf>
    <xf numFmtId="0" fontId="27" fillId="2" borderId="52" xfId="0" applyFont="1" applyFill="1" applyBorder="1" applyAlignment="1" applyProtection="1">
      <alignment horizontal="center" vertical="center" wrapText="1"/>
      <protection locked="0"/>
    </xf>
    <xf numFmtId="0" fontId="27" fillId="2" borderId="53" xfId="0" applyFont="1" applyFill="1" applyBorder="1" applyAlignment="1" applyProtection="1">
      <alignment horizontal="center" vertical="center" wrapText="1"/>
      <protection locked="0"/>
    </xf>
    <xf numFmtId="0" fontId="29" fillId="0" borderId="10" xfId="0" applyFont="1" applyBorder="1" applyAlignment="1">
      <alignment horizontal="left" vertical="center" wrapText="1"/>
    </xf>
    <xf numFmtId="0" fontId="29" fillId="0" borderId="11" xfId="0" applyFont="1" applyBorder="1" applyAlignment="1">
      <alignment horizontal="left" vertical="center" wrapText="1"/>
    </xf>
    <xf numFmtId="0" fontId="29" fillId="0" borderId="5" xfId="0" applyFont="1" applyBorder="1" applyAlignment="1">
      <alignment horizontal="left" vertical="center" wrapText="1"/>
    </xf>
    <xf numFmtId="0" fontId="27" fillId="2" borderId="1" xfId="0" applyFont="1" applyFill="1" applyBorder="1" applyAlignment="1" applyProtection="1">
      <alignment horizontal="left" vertical="center" wrapText="1"/>
      <protection locked="0"/>
    </xf>
    <xf numFmtId="0" fontId="27" fillId="2" borderId="6" xfId="0" applyFont="1" applyFill="1" applyBorder="1" applyAlignment="1" applyProtection="1">
      <alignment horizontal="left" vertical="center" wrapText="1"/>
      <protection locked="0"/>
    </xf>
    <xf numFmtId="0" fontId="27" fillId="2" borderId="2" xfId="0" applyFont="1" applyFill="1" applyBorder="1" applyAlignment="1" applyProtection="1">
      <alignment horizontal="left" vertical="center" wrapText="1"/>
      <protection locked="0"/>
    </xf>
    <xf numFmtId="0" fontId="27" fillId="2" borderId="8" xfId="0" applyFont="1" applyFill="1" applyBorder="1" applyAlignment="1" applyProtection="1">
      <alignment horizontal="left" vertical="center" wrapText="1"/>
      <protection locked="0"/>
    </xf>
    <xf numFmtId="0" fontId="27" fillId="2" borderId="0" xfId="0" applyFont="1" applyFill="1" applyBorder="1" applyAlignment="1" applyProtection="1">
      <alignment horizontal="left" vertical="center" wrapText="1"/>
      <protection locked="0"/>
    </xf>
    <xf numFmtId="0" fontId="27" fillId="2" borderId="9" xfId="0" applyFont="1" applyFill="1" applyBorder="1" applyAlignment="1" applyProtection="1">
      <alignment horizontal="left" vertical="center" wrapText="1"/>
      <protection locked="0"/>
    </xf>
    <xf numFmtId="0" fontId="27" fillId="2" borderId="84" xfId="0" applyFont="1" applyFill="1" applyBorder="1" applyAlignment="1" applyProtection="1">
      <alignment horizontal="left" vertical="center" wrapText="1"/>
      <protection locked="0"/>
    </xf>
    <xf numFmtId="0" fontId="27" fillId="2" borderId="52" xfId="0" applyFont="1" applyFill="1" applyBorder="1" applyAlignment="1" applyProtection="1">
      <alignment horizontal="left" vertical="center" wrapText="1"/>
      <protection locked="0"/>
    </xf>
    <xf numFmtId="0" fontId="27" fillId="2" borderId="53" xfId="0" applyFont="1" applyFill="1" applyBorder="1" applyAlignment="1" applyProtection="1">
      <alignment horizontal="left" vertical="center" wrapText="1"/>
      <protection locked="0"/>
    </xf>
    <xf numFmtId="0" fontId="25" fillId="2" borderId="85" xfId="0" applyFont="1" applyFill="1" applyBorder="1" applyAlignment="1" applyProtection="1">
      <alignment horizontal="left" vertical="center" wrapText="1"/>
      <protection locked="0"/>
    </xf>
    <xf numFmtId="0" fontId="25" fillId="2" borderId="61" xfId="0" applyFont="1" applyFill="1" applyBorder="1" applyAlignment="1" applyProtection="1">
      <alignment horizontal="left" vertical="center" wrapText="1"/>
      <protection locked="0"/>
    </xf>
    <xf numFmtId="0" fontId="25" fillId="2" borderId="86" xfId="0" applyFont="1" applyFill="1" applyBorder="1" applyAlignment="1" applyProtection="1">
      <alignment horizontal="left" vertical="center" wrapText="1"/>
      <protection locked="0"/>
    </xf>
    <xf numFmtId="0" fontId="25" fillId="2" borderId="8" xfId="0" applyFont="1" applyFill="1" applyBorder="1" applyAlignment="1" applyProtection="1">
      <alignment horizontal="left" vertical="center" wrapText="1"/>
      <protection locked="0"/>
    </xf>
    <xf numFmtId="0" fontId="25" fillId="2" borderId="0" xfId="0" applyFont="1" applyFill="1" applyBorder="1" applyAlignment="1" applyProtection="1">
      <alignment horizontal="left" vertical="center" wrapText="1"/>
      <protection locked="0"/>
    </xf>
    <xf numFmtId="0" fontId="25" fillId="2" borderId="9" xfId="0" applyFont="1" applyFill="1" applyBorder="1" applyAlignment="1" applyProtection="1">
      <alignment horizontal="left" vertical="center" wrapText="1"/>
      <protection locked="0"/>
    </xf>
    <xf numFmtId="0" fontId="25" fillId="2" borderId="84" xfId="0" applyFont="1" applyFill="1" applyBorder="1" applyAlignment="1" applyProtection="1">
      <alignment horizontal="left" vertical="center" wrapText="1"/>
      <protection locked="0"/>
    </xf>
    <xf numFmtId="0" fontId="25" fillId="2" borderId="52" xfId="0" applyFont="1" applyFill="1" applyBorder="1" applyAlignment="1" applyProtection="1">
      <alignment horizontal="left" vertical="center" wrapText="1"/>
      <protection locked="0"/>
    </xf>
    <xf numFmtId="0" fontId="25" fillId="2" borderId="53" xfId="0" applyFont="1" applyFill="1" applyBorder="1" applyAlignment="1" applyProtection="1">
      <alignment horizontal="left" vertical="center" wrapText="1"/>
      <protection locked="0"/>
    </xf>
    <xf numFmtId="164" fontId="25" fillId="2" borderId="3" xfId="0" applyNumberFormat="1" applyFont="1" applyFill="1" applyBorder="1" applyAlignment="1" applyProtection="1">
      <alignment horizontal="center" vertical="center"/>
      <protection locked="0"/>
    </xf>
    <xf numFmtId="164" fontId="25" fillId="2" borderId="7" xfId="0" applyNumberFormat="1" applyFont="1" applyFill="1" applyBorder="1" applyAlignment="1" applyProtection="1">
      <alignment horizontal="center" vertical="center"/>
      <protection locked="0"/>
    </xf>
    <xf numFmtId="164" fontId="25" fillId="2" borderId="4" xfId="0" applyNumberFormat="1" applyFont="1" applyFill="1" applyBorder="1" applyAlignment="1" applyProtection="1">
      <alignment horizontal="center" vertical="center"/>
      <protection locked="0"/>
    </xf>
    <xf numFmtId="0" fontId="25" fillId="2" borderId="3" xfId="0" applyFont="1" applyFill="1" applyBorder="1" applyAlignment="1" applyProtection="1">
      <alignment horizontal="left" vertical="center" wrapText="1"/>
      <protection locked="0"/>
    </xf>
    <xf numFmtId="0" fontId="25" fillId="2" borderId="7" xfId="0" applyFont="1" applyFill="1" applyBorder="1" applyAlignment="1" applyProtection="1">
      <alignment horizontal="left" vertical="center" wrapText="1"/>
      <protection locked="0"/>
    </xf>
    <xf numFmtId="0" fontId="25" fillId="2" borderId="4" xfId="0" applyFont="1" applyFill="1" applyBorder="1" applyAlignment="1" applyProtection="1">
      <alignment horizontal="left" vertical="center" wrapText="1"/>
      <protection locked="0"/>
    </xf>
    <xf numFmtId="14" fontId="25" fillId="2" borderId="7" xfId="0" applyNumberFormat="1" applyFont="1" applyFill="1" applyBorder="1" applyAlignment="1" applyProtection="1">
      <alignment horizontal="center" vertical="center"/>
      <protection locked="0"/>
    </xf>
    <xf numFmtId="0" fontId="25" fillId="2" borderId="7" xfId="0" applyFont="1" applyFill="1" applyBorder="1" applyAlignment="1" applyProtection="1">
      <alignment horizontal="center" vertical="center"/>
      <protection locked="0"/>
    </xf>
    <xf numFmtId="0" fontId="29" fillId="0" borderId="73" xfId="0" applyFont="1" applyBorder="1" applyAlignment="1">
      <alignment horizontal="center" vertical="top"/>
    </xf>
    <xf numFmtId="14" fontId="25" fillId="2" borderId="78" xfId="0" applyNumberFormat="1" applyFont="1" applyFill="1" applyBorder="1" applyAlignment="1" applyProtection="1">
      <alignment horizontal="center" vertical="center"/>
      <protection locked="0"/>
    </xf>
    <xf numFmtId="0" fontId="31" fillId="2" borderId="85" xfId="0" applyFont="1" applyFill="1" applyBorder="1" applyAlignment="1" applyProtection="1">
      <alignment horizontal="center" vertical="center"/>
      <protection locked="0"/>
    </xf>
    <xf numFmtId="0" fontId="31" fillId="2" borderId="61" xfId="0" applyFont="1" applyFill="1" applyBorder="1" applyAlignment="1" applyProtection="1">
      <alignment horizontal="center" vertical="center"/>
      <protection locked="0"/>
    </xf>
    <xf numFmtId="0" fontId="31" fillId="2" borderId="96" xfId="0" applyFont="1" applyFill="1" applyBorder="1" applyAlignment="1" applyProtection="1">
      <alignment horizontal="center" vertical="center"/>
      <protection locked="0"/>
    </xf>
    <xf numFmtId="0" fontId="31" fillId="2" borderId="8" xfId="0" applyFont="1" applyFill="1" applyBorder="1" applyAlignment="1" applyProtection="1">
      <alignment horizontal="center" vertical="center"/>
      <protection locked="0"/>
    </xf>
    <xf numFmtId="0" fontId="31" fillId="2" borderId="0" xfId="0" applyFont="1" applyFill="1" applyBorder="1" applyAlignment="1" applyProtection="1">
      <alignment horizontal="center" vertical="center"/>
      <protection locked="0"/>
    </xf>
    <xf numFmtId="0" fontId="31" fillId="2" borderId="63" xfId="0" applyFont="1" applyFill="1" applyBorder="1" applyAlignment="1" applyProtection="1">
      <alignment horizontal="center" vertical="center"/>
      <protection locked="0"/>
    </xf>
    <xf numFmtId="0" fontId="31" fillId="2" borderId="84" xfId="0" applyFont="1" applyFill="1" applyBorder="1" applyAlignment="1" applyProtection="1">
      <alignment horizontal="center" vertical="center"/>
      <protection locked="0"/>
    </xf>
    <xf numFmtId="0" fontId="31" fillId="2" borderId="52" xfId="0" applyFont="1" applyFill="1" applyBorder="1" applyAlignment="1" applyProtection="1">
      <alignment horizontal="center" vertical="center"/>
      <protection locked="0"/>
    </xf>
    <xf numFmtId="0" fontId="31" fillId="2" borderId="93" xfId="0" applyFont="1" applyFill="1" applyBorder="1" applyAlignment="1" applyProtection="1">
      <alignment horizontal="center" vertical="center"/>
      <protection locked="0"/>
    </xf>
    <xf numFmtId="0" fontId="25" fillId="2" borderId="0" xfId="0" applyFont="1" applyFill="1" applyBorder="1" applyAlignment="1" applyProtection="1">
      <alignment horizontal="center" vertical="top" wrapText="1"/>
      <protection locked="0"/>
    </xf>
    <xf numFmtId="0" fontId="25" fillId="2" borderId="9" xfId="0" applyFont="1" applyFill="1" applyBorder="1" applyAlignment="1" applyProtection="1">
      <alignment horizontal="center" vertical="top" wrapText="1"/>
      <protection locked="0"/>
    </xf>
    <xf numFmtId="0" fontId="29" fillId="0" borderId="99" xfId="0" applyFont="1" applyBorder="1" applyAlignment="1">
      <alignment horizontal="left" vertical="top"/>
    </xf>
    <xf numFmtId="0" fontId="29" fillId="0" borderId="73" xfId="0" applyFont="1" applyBorder="1" applyAlignment="1">
      <alignment horizontal="left" vertical="top"/>
    </xf>
    <xf numFmtId="0" fontId="29" fillId="0" borderId="3" xfId="0" applyFont="1" applyBorder="1" applyAlignment="1">
      <alignment horizontal="left" vertical="top"/>
    </xf>
    <xf numFmtId="0" fontId="29" fillId="0" borderId="7" xfId="0" applyFont="1" applyBorder="1" applyAlignment="1">
      <alignment horizontal="left" vertical="top"/>
    </xf>
    <xf numFmtId="0" fontId="27" fillId="2" borderId="62" xfId="0" applyFont="1" applyFill="1" applyBorder="1" applyAlignment="1">
      <alignment horizontal="center"/>
    </xf>
    <xf numFmtId="0" fontId="27" fillId="2" borderId="9" xfId="0" applyFont="1" applyFill="1" applyBorder="1" applyAlignment="1">
      <alignment horizontal="center"/>
    </xf>
    <xf numFmtId="0" fontId="27" fillId="2" borderId="67" xfId="0" applyFont="1" applyFill="1" applyBorder="1" applyAlignment="1">
      <alignment horizontal="center"/>
    </xf>
    <xf numFmtId="0" fontId="27" fillId="2" borderId="13" xfId="0" applyFont="1" applyFill="1" applyBorder="1" applyAlignment="1">
      <alignment horizontal="center"/>
    </xf>
    <xf numFmtId="0" fontId="27" fillId="2" borderId="48" xfId="0" applyFont="1" applyFill="1" applyBorder="1" applyAlignment="1">
      <alignment horizontal="center"/>
    </xf>
    <xf numFmtId="0" fontId="29" fillId="0" borderId="66" xfId="0" applyFont="1" applyBorder="1" applyAlignment="1">
      <alignment horizontal="left" vertical="center"/>
    </xf>
    <xf numFmtId="0" fontId="29" fillId="0" borderId="16" xfId="0" applyFont="1" applyBorder="1" applyAlignment="1">
      <alignment horizontal="left" vertical="center"/>
    </xf>
    <xf numFmtId="0" fontId="29" fillId="0" borderId="14" xfId="0" applyFont="1" applyBorder="1" applyAlignment="1">
      <alignment horizontal="left" vertical="center"/>
    </xf>
    <xf numFmtId="0" fontId="29" fillId="0" borderId="8" xfId="0" applyFont="1" applyBorder="1" applyAlignment="1">
      <alignment horizontal="left" vertical="center"/>
    </xf>
    <xf numFmtId="0" fontId="29" fillId="0" borderId="0" xfId="0" applyFont="1" applyBorder="1" applyAlignment="1">
      <alignment horizontal="left" vertical="center"/>
    </xf>
    <xf numFmtId="0" fontId="29" fillId="0" borderId="63" xfId="0" applyFont="1" applyBorder="1" applyAlignment="1">
      <alignment horizontal="left" vertical="center"/>
    </xf>
    <xf numFmtId="0" fontId="29" fillId="0" borderId="65" xfId="0" applyFont="1" applyBorder="1" applyAlignment="1">
      <alignment horizontal="left" vertical="center"/>
    </xf>
    <xf numFmtId="0" fontId="29" fillId="0" borderId="13" xfId="0" applyFont="1" applyBorder="1" applyAlignment="1">
      <alignment horizontal="left" vertical="center"/>
    </xf>
    <xf numFmtId="0" fontId="29" fillId="0" borderId="15" xfId="0" applyFont="1" applyBorder="1" applyAlignment="1">
      <alignment horizontal="left" vertical="center"/>
    </xf>
    <xf numFmtId="0" fontId="28" fillId="2" borderId="32" xfId="0" applyFont="1" applyFill="1" applyBorder="1" applyAlignment="1">
      <alignment horizontal="center" vertical="top"/>
    </xf>
    <xf numFmtId="0" fontId="28" fillId="2" borderId="16" xfId="0" applyFont="1" applyFill="1" applyBorder="1" applyAlignment="1">
      <alignment horizontal="center" vertical="top"/>
    </xf>
    <xf numFmtId="0" fontId="28" fillId="2" borderId="56" xfId="0" applyFont="1" applyFill="1" applyBorder="1" applyAlignment="1">
      <alignment horizontal="center" vertical="top"/>
    </xf>
    <xf numFmtId="0" fontId="25" fillId="2" borderId="8" xfId="0" applyFont="1" applyFill="1" applyBorder="1" applyAlignment="1" applyProtection="1">
      <alignment horizontal="left" vertical="top" wrapText="1"/>
      <protection locked="0"/>
    </xf>
    <xf numFmtId="0" fontId="25" fillId="2" borderId="0" xfId="0" applyFont="1" applyFill="1" applyBorder="1" applyAlignment="1" applyProtection="1">
      <alignment horizontal="left" vertical="top" wrapText="1"/>
      <protection locked="0"/>
    </xf>
    <xf numFmtId="0" fontId="25" fillId="2" borderId="9" xfId="0" applyFont="1" applyFill="1" applyBorder="1" applyAlignment="1" applyProtection="1">
      <alignment horizontal="left" vertical="top" wrapText="1"/>
      <protection locked="0"/>
    </xf>
    <xf numFmtId="0" fontId="25" fillId="2" borderId="3" xfId="0" applyFont="1" applyFill="1" applyBorder="1" applyAlignment="1" applyProtection="1">
      <alignment horizontal="left" vertical="top" wrapText="1"/>
      <protection locked="0"/>
    </xf>
    <xf numFmtId="0" fontId="25" fillId="2" borderId="7" xfId="0" applyFont="1" applyFill="1" applyBorder="1" applyAlignment="1" applyProtection="1">
      <alignment horizontal="left" vertical="top" wrapText="1"/>
      <protection locked="0"/>
    </xf>
    <xf numFmtId="0" fontId="25" fillId="2" borderId="4" xfId="0" applyFont="1" applyFill="1" applyBorder="1" applyAlignment="1" applyProtection="1">
      <alignment horizontal="left" vertical="top" wrapText="1"/>
      <protection locked="0"/>
    </xf>
    <xf numFmtId="0" fontId="27" fillId="2" borderId="63" xfId="0" applyFont="1" applyFill="1" applyBorder="1" applyAlignment="1">
      <alignment horizontal="center"/>
    </xf>
    <xf numFmtId="0" fontId="29" fillId="0" borderId="8" xfId="0" applyFont="1" applyBorder="1" applyAlignment="1">
      <alignment horizontal="left" vertical="top"/>
    </xf>
    <xf numFmtId="0" fontId="29" fillId="0" borderId="0" xfId="0" applyFont="1" applyBorder="1" applyAlignment="1">
      <alignment horizontal="left" vertical="top"/>
    </xf>
    <xf numFmtId="0" fontId="29" fillId="0" borderId="74" xfId="0" applyFont="1" applyBorder="1" applyAlignment="1">
      <alignment horizontal="left" vertical="center"/>
    </xf>
    <xf numFmtId="0" fontId="29" fillId="0" borderId="75" xfId="0" applyFont="1" applyBorder="1" applyAlignment="1">
      <alignment horizontal="left" vertical="center"/>
    </xf>
    <xf numFmtId="0" fontId="25" fillId="2" borderId="75" xfId="0" applyFont="1" applyFill="1" applyBorder="1" applyAlignment="1" applyProtection="1">
      <alignment horizontal="left" vertical="center"/>
      <protection locked="0"/>
    </xf>
    <xf numFmtId="0" fontId="25" fillId="2" borderId="98" xfId="0" applyFont="1" applyFill="1" applyBorder="1" applyAlignment="1" applyProtection="1">
      <alignment horizontal="left" vertical="center"/>
      <protection locked="0"/>
    </xf>
    <xf numFmtId="0" fontId="29" fillId="0" borderId="76" xfId="0" applyFont="1" applyBorder="1" applyAlignment="1">
      <alignment horizontal="left" vertical="center"/>
    </xf>
    <xf numFmtId="0" fontId="29" fillId="0" borderId="71" xfId="0" applyFont="1" applyBorder="1" applyAlignment="1">
      <alignment horizontal="left" vertical="center"/>
    </xf>
    <xf numFmtId="0" fontId="29" fillId="0" borderId="76" xfId="0" applyFont="1" applyBorder="1" applyAlignment="1">
      <alignment horizontal="left" vertical="top"/>
    </xf>
    <xf numFmtId="0" fontId="29" fillId="0" borderId="71" xfId="0" applyFont="1" applyBorder="1" applyAlignment="1">
      <alignment horizontal="left" vertical="top"/>
    </xf>
    <xf numFmtId="0" fontId="28" fillId="0" borderId="1" xfId="0" applyFont="1" applyBorder="1" applyAlignment="1">
      <alignment horizontal="left" vertical="top"/>
    </xf>
    <xf numFmtId="0" fontId="28" fillId="0" borderId="6" xfId="0" applyFont="1" applyBorder="1" applyAlignment="1">
      <alignment horizontal="left" vertical="top"/>
    </xf>
    <xf numFmtId="0" fontId="28" fillId="0" borderId="2" xfId="0" applyFont="1" applyBorder="1" applyAlignment="1">
      <alignment horizontal="left" vertical="top"/>
    </xf>
    <xf numFmtId="0" fontId="28" fillId="0" borderId="45" xfId="0" applyFont="1" applyBorder="1" applyAlignment="1">
      <alignment horizontal="left" vertical="top"/>
    </xf>
    <xf numFmtId="0" fontId="28" fillId="0" borderId="35" xfId="0" applyFont="1" applyBorder="1" applyAlignment="1">
      <alignment horizontal="left" vertical="top"/>
    </xf>
    <xf numFmtId="0" fontId="28" fillId="0" borderId="47" xfId="0" applyFont="1" applyBorder="1" applyAlignment="1">
      <alignment horizontal="left" vertical="top"/>
    </xf>
    <xf numFmtId="0" fontId="31" fillId="2" borderId="97" xfId="0" applyFont="1" applyFill="1" applyBorder="1" applyAlignment="1" applyProtection="1">
      <alignment horizontal="center" vertical="center"/>
      <protection locked="0"/>
    </xf>
    <xf numFmtId="0" fontId="31" fillId="2" borderId="62" xfId="0" applyFont="1" applyFill="1" applyBorder="1" applyAlignment="1" applyProtection="1">
      <alignment horizontal="center" vertical="center"/>
      <protection locked="0"/>
    </xf>
    <xf numFmtId="0" fontId="31" fillId="2" borderId="30" xfId="0" applyFont="1" applyFill="1" applyBorder="1" applyAlignment="1" applyProtection="1">
      <alignment horizontal="center" vertical="center"/>
      <protection locked="0"/>
    </xf>
    <xf numFmtId="0" fontId="31" fillId="2" borderId="31" xfId="0" applyFont="1" applyFill="1" applyBorder="1" applyAlignment="1" applyProtection="1">
      <alignment horizontal="center" vertical="center"/>
      <protection locked="0"/>
    </xf>
    <xf numFmtId="0" fontId="29" fillId="0" borderId="1" xfId="0" applyFont="1" applyBorder="1" applyAlignment="1">
      <alignment horizontal="left" vertical="top"/>
    </xf>
    <xf numFmtId="0" fontId="29" fillId="0" borderId="6" xfId="0" applyFont="1" applyBorder="1" applyAlignment="1">
      <alignment horizontal="left" vertical="top"/>
    </xf>
    <xf numFmtId="0" fontId="29" fillId="0" borderId="77" xfId="0" applyFont="1" applyBorder="1" applyAlignment="1">
      <alignment horizontal="left" vertical="center"/>
    </xf>
    <xf numFmtId="0" fontId="29" fillId="0" borderId="70" xfId="0" applyFont="1" applyBorder="1" applyAlignment="1">
      <alignment horizontal="left" vertical="center"/>
    </xf>
    <xf numFmtId="0" fontId="31" fillId="2" borderId="3" xfId="0" applyFont="1" applyFill="1" applyBorder="1" applyAlignment="1" applyProtection="1">
      <alignment horizontal="center" vertical="center"/>
      <protection locked="0"/>
    </xf>
    <xf numFmtId="0" fontId="31" fillId="2" borderId="7" xfId="0" applyFont="1" applyFill="1" applyBorder="1" applyAlignment="1" applyProtection="1">
      <alignment horizontal="center" vertical="center"/>
      <protection locked="0"/>
    </xf>
    <xf numFmtId="0" fontId="31" fillId="2" borderId="97" xfId="0" applyFont="1" applyFill="1" applyBorder="1" applyAlignment="1" applyProtection="1">
      <alignment horizontal="center" vertical="center" wrapText="1"/>
      <protection locked="0"/>
    </xf>
    <xf numFmtId="0" fontId="31" fillId="2" borderId="61" xfId="0" applyFont="1" applyFill="1" applyBorder="1" applyAlignment="1" applyProtection="1">
      <alignment horizontal="center" vertical="center" wrapText="1"/>
      <protection locked="0"/>
    </xf>
    <xf numFmtId="0" fontId="31" fillId="2" borderId="96" xfId="0" applyFont="1" applyFill="1" applyBorder="1" applyAlignment="1" applyProtection="1">
      <alignment horizontal="center" vertical="center" wrapText="1"/>
      <protection locked="0"/>
    </xf>
    <xf numFmtId="0" fontId="31" fillId="2" borderId="62" xfId="0" applyFont="1" applyFill="1" applyBorder="1" applyAlignment="1" applyProtection="1">
      <alignment horizontal="center" vertical="center" wrapText="1"/>
      <protection locked="0"/>
    </xf>
    <xf numFmtId="0" fontId="31" fillId="2" borderId="0" xfId="0" applyFont="1" applyFill="1" applyBorder="1" applyAlignment="1" applyProtection="1">
      <alignment horizontal="center" vertical="center" wrapText="1"/>
      <protection locked="0"/>
    </xf>
    <xf numFmtId="0" fontId="31" fillId="2" borderId="63" xfId="0" applyFont="1" applyFill="1" applyBorder="1" applyAlignment="1" applyProtection="1">
      <alignment horizontal="center" vertical="center" wrapText="1"/>
      <protection locked="0"/>
    </xf>
    <xf numFmtId="0" fontId="31" fillId="2" borderId="94" xfId="0" applyFont="1" applyFill="1" applyBorder="1" applyAlignment="1" applyProtection="1">
      <alignment horizontal="center" vertical="center" wrapText="1"/>
      <protection locked="0"/>
    </xf>
    <xf numFmtId="0" fontId="31" fillId="2" borderId="52" xfId="0" applyFont="1" applyFill="1" applyBorder="1" applyAlignment="1" applyProtection="1">
      <alignment horizontal="center" vertical="center" wrapText="1"/>
      <protection locked="0"/>
    </xf>
    <xf numFmtId="0" fontId="31" fillId="2" borderId="93" xfId="0" applyFont="1" applyFill="1" applyBorder="1" applyAlignment="1" applyProtection="1">
      <alignment horizontal="center" vertical="center" wrapText="1"/>
      <protection locked="0"/>
    </xf>
    <xf numFmtId="0" fontId="64" fillId="2" borderId="97" xfId="0" applyFont="1" applyFill="1" applyBorder="1" applyAlignment="1" applyProtection="1">
      <alignment horizontal="center" vertical="center"/>
      <protection locked="0"/>
    </xf>
    <xf numFmtId="0" fontId="64" fillId="2" borderId="61" xfId="0" applyFont="1" applyFill="1" applyBorder="1" applyAlignment="1" applyProtection="1">
      <alignment horizontal="center" vertical="center"/>
      <protection locked="0"/>
    </xf>
    <xf numFmtId="0" fontId="64" fillId="2" borderId="96" xfId="0" applyFont="1" applyFill="1" applyBorder="1" applyAlignment="1" applyProtection="1">
      <alignment horizontal="center" vertical="center"/>
      <protection locked="0"/>
    </xf>
    <xf numFmtId="0" fontId="31" fillId="2" borderId="30" xfId="0" applyFont="1" applyFill="1" applyBorder="1" applyAlignment="1" applyProtection="1">
      <alignment horizontal="center" vertical="center" wrapText="1"/>
      <protection locked="0"/>
    </xf>
    <xf numFmtId="0" fontId="31" fillId="2" borderId="7" xfId="0" applyFont="1" applyFill="1" applyBorder="1" applyAlignment="1" applyProtection="1">
      <alignment horizontal="center" vertical="center" wrapText="1"/>
      <protection locked="0"/>
    </xf>
    <xf numFmtId="0" fontId="31" fillId="2" borderId="31" xfId="0" applyFont="1" applyFill="1" applyBorder="1" applyAlignment="1" applyProtection="1">
      <alignment horizontal="center" vertical="center" wrapText="1"/>
      <protection locked="0"/>
    </xf>
    <xf numFmtId="0" fontId="31" fillId="2" borderId="86" xfId="0" applyFont="1" applyFill="1" applyBorder="1" applyAlignment="1" applyProtection="1">
      <alignment horizontal="center" vertical="center" wrapText="1"/>
      <protection locked="0"/>
    </xf>
    <xf numFmtId="0" fontId="31" fillId="2" borderId="9" xfId="0" applyFont="1" applyFill="1" applyBorder="1" applyAlignment="1" applyProtection="1">
      <alignment horizontal="center" vertical="center" wrapText="1"/>
      <protection locked="0"/>
    </xf>
    <xf numFmtId="0" fontId="31" fillId="2" borderId="53" xfId="0" applyFont="1" applyFill="1" applyBorder="1" applyAlignment="1" applyProtection="1">
      <alignment horizontal="center" vertical="center" wrapText="1"/>
      <protection locked="0"/>
    </xf>
    <xf numFmtId="0" fontId="50" fillId="0" borderId="28" xfId="0" applyFont="1" applyFill="1" applyBorder="1" applyAlignment="1" applyProtection="1">
      <alignment horizontal="center" vertical="center"/>
      <protection locked="0"/>
    </xf>
    <xf numFmtId="0" fontId="50" fillId="0" borderId="23" xfId="0" applyFont="1" applyFill="1" applyBorder="1" applyAlignment="1" applyProtection="1">
      <alignment horizontal="center" vertical="center"/>
      <protection locked="0"/>
    </xf>
    <xf numFmtId="0" fontId="50" fillId="0" borderId="29" xfId="0" applyFont="1" applyFill="1" applyBorder="1" applyAlignment="1" applyProtection="1">
      <alignment horizontal="center" vertical="center"/>
      <protection locked="0"/>
    </xf>
    <xf numFmtId="0" fontId="64" fillId="2" borderId="94" xfId="0" applyFont="1" applyFill="1" applyBorder="1" applyAlignment="1" applyProtection="1">
      <alignment horizontal="center" vertical="center"/>
      <protection locked="0"/>
    </xf>
    <xf numFmtId="0" fontId="64" fillId="2" borderId="52" xfId="0" applyFont="1" applyFill="1" applyBorder="1" applyAlignment="1" applyProtection="1">
      <alignment horizontal="center" vertical="center"/>
      <protection locked="0"/>
    </xf>
    <xf numFmtId="0" fontId="64" fillId="2" borderId="93" xfId="0" applyFont="1" applyFill="1" applyBorder="1" applyAlignment="1" applyProtection="1">
      <alignment horizontal="center" vertical="center"/>
      <protection locked="0"/>
    </xf>
    <xf numFmtId="0" fontId="31" fillId="2" borderId="4" xfId="0" applyFont="1" applyFill="1" applyBorder="1" applyAlignment="1" applyProtection="1">
      <alignment horizontal="center" vertical="center" wrapText="1"/>
      <protection locked="0"/>
    </xf>
    <xf numFmtId="0" fontId="64" fillId="2" borderId="30" xfId="0" applyFont="1" applyFill="1" applyBorder="1" applyAlignment="1" applyProtection="1">
      <alignment horizontal="center" vertical="center"/>
      <protection locked="0"/>
    </xf>
    <xf numFmtId="0" fontId="64" fillId="2" borderId="7" xfId="0" applyFont="1" applyFill="1" applyBorder="1" applyAlignment="1" applyProtection="1">
      <alignment horizontal="center" vertical="center"/>
      <protection locked="0"/>
    </xf>
    <xf numFmtId="0" fontId="64" fillId="2" borderId="31" xfId="0" applyFont="1" applyFill="1" applyBorder="1" applyAlignment="1" applyProtection="1">
      <alignment horizontal="center" vertical="center"/>
      <protection locked="0"/>
    </xf>
    <xf numFmtId="0" fontId="31" fillId="2" borderId="94" xfId="0" applyFont="1" applyFill="1" applyBorder="1" applyAlignment="1" applyProtection="1">
      <alignment horizontal="center" vertical="center"/>
      <protection locked="0"/>
    </xf>
    <xf numFmtId="0" fontId="31" fillId="2" borderId="1" xfId="0" applyFont="1" applyFill="1" applyBorder="1" applyAlignment="1" applyProtection="1">
      <alignment horizontal="center" vertical="center"/>
      <protection locked="0"/>
    </xf>
    <xf numFmtId="0" fontId="31" fillId="2" borderId="6" xfId="0" applyFont="1" applyFill="1" applyBorder="1" applyAlignment="1" applyProtection="1">
      <alignment horizontal="center" vertical="center"/>
      <protection locked="0"/>
    </xf>
    <xf numFmtId="0" fontId="31" fillId="2" borderId="27" xfId="0" applyFont="1" applyFill="1" applyBorder="1" applyAlignment="1" applyProtection="1">
      <alignment horizontal="center" vertical="center"/>
      <protection locked="0"/>
    </xf>
    <xf numFmtId="0" fontId="31" fillId="2" borderId="26" xfId="0" applyFont="1" applyFill="1" applyBorder="1" applyAlignment="1" applyProtection="1">
      <alignment horizontal="center" vertical="center"/>
      <protection locked="0"/>
    </xf>
    <xf numFmtId="0" fontId="27" fillId="0" borderId="26" xfId="0" applyFont="1" applyBorder="1" applyAlignment="1">
      <alignment horizontal="center" vertical="center"/>
    </xf>
    <xf numFmtId="0" fontId="27" fillId="0" borderId="6" xfId="0" applyFont="1" applyBorder="1" applyAlignment="1">
      <alignment horizontal="center" vertical="center"/>
    </xf>
    <xf numFmtId="0" fontId="27" fillId="0" borderId="27" xfId="0" applyFont="1" applyBorder="1" applyAlignment="1">
      <alignment horizontal="center" vertical="center"/>
    </xf>
    <xf numFmtId="0" fontId="13" fillId="0" borderId="26" xfId="0" applyFont="1" applyBorder="1" applyAlignment="1">
      <alignment horizontal="center" vertical="center" wrapText="1"/>
    </xf>
    <xf numFmtId="0" fontId="13" fillId="0" borderId="6" xfId="0" applyFont="1" applyBorder="1" applyAlignment="1">
      <alignment horizontal="center" vertical="center" wrapText="1"/>
    </xf>
    <xf numFmtId="0" fontId="13" fillId="0" borderId="27" xfId="0" applyFont="1" applyBorder="1" applyAlignment="1">
      <alignment horizontal="center" vertical="center" wrapText="1"/>
    </xf>
    <xf numFmtId="0" fontId="13" fillId="0" borderId="62" xfId="0" applyFont="1" applyBorder="1" applyAlignment="1">
      <alignment horizontal="center" vertical="center" wrapText="1"/>
    </xf>
    <xf numFmtId="0" fontId="13" fillId="0" borderId="0" xfId="0" applyFont="1" applyBorder="1" applyAlignment="1">
      <alignment horizontal="center" vertical="center" wrapText="1"/>
    </xf>
    <xf numFmtId="0" fontId="13" fillId="0" borderId="63" xfId="0" applyFont="1" applyBorder="1" applyAlignment="1">
      <alignment horizontal="center" vertical="center" wrapText="1"/>
    </xf>
    <xf numFmtId="0" fontId="64" fillId="2" borderId="26" xfId="0" applyFont="1" applyFill="1" applyBorder="1" applyAlignment="1" applyProtection="1">
      <alignment horizontal="center" vertical="center"/>
      <protection locked="0"/>
    </xf>
    <xf numFmtId="0" fontId="64" fillId="2" borderId="6" xfId="0" applyFont="1" applyFill="1" applyBorder="1" applyAlignment="1" applyProtection="1">
      <alignment horizontal="center" vertical="center"/>
      <protection locked="0"/>
    </xf>
    <xf numFmtId="0" fontId="64" fillId="2" borderId="27" xfId="0" applyFont="1" applyFill="1" applyBorder="1" applyAlignment="1" applyProtection="1">
      <alignment horizontal="center" vertical="center"/>
      <protection locked="0"/>
    </xf>
    <xf numFmtId="0" fontId="64" fillId="2" borderId="62" xfId="0" applyFont="1" applyFill="1" applyBorder="1" applyAlignment="1" applyProtection="1">
      <alignment horizontal="center" vertical="center"/>
      <protection locked="0"/>
    </xf>
    <xf numFmtId="0" fontId="64" fillId="2" borderId="63" xfId="0" applyFont="1" applyFill="1" applyBorder="1" applyAlignment="1" applyProtection="1">
      <alignment horizontal="center" vertical="center"/>
      <protection locked="0"/>
    </xf>
    <xf numFmtId="0" fontId="64" fillId="2" borderId="0" xfId="0" applyFont="1" applyFill="1" applyBorder="1" applyAlignment="1" applyProtection="1">
      <alignment horizontal="center" vertical="center"/>
      <protection locked="0"/>
    </xf>
    <xf numFmtId="0" fontId="27" fillId="0" borderId="1" xfId="0" applyFont="1" applyBorder="1" applyAlignment="1">
      <alignment horizontal="center" vertical="center" wrapText="1"/>
    </xf>
    <xf numFmtId="0" fontId="27" fillId="0" borderId="6" xfId="0" applyFont="1" applyBorder="1" applyAlignment="1">
      <alignment horizontal="center" vertical="center" wrapText="1"/>
    </xf>
    <xf numFmtId="0" fontId="27" fillId="0" borderId="27" xfId="0" applyFont="1" applyBorder="1" applyAlignment="1">
      <alignment horizontal="center" vertical="center" wrapText="1"/>
    </xf>
    <xf numFmtId="0" fontId="27" fillId="0" borderId="8" xfId="0" applyFont="1" applyBorder="1" applyAlignment="1">
      <alignment horizontal="center" vertical="center" wrapText="1"/>
    </xf>
    <xf numFmtId="0" fontId="27" fillId="0" borderId="0" xfId="0" applyFont="1" applyBorder="1" applyAlignment="1">
      <alignment horizontal="center" vertical="center" wrapText="1"/>
    </xf>
    <xf numFmtId="0" fontId="27" fillId="0" borderId="63" xfId="0" applyFont="1" applyBorder="1" applyAlignment="1">
      <alignment horizontal="center" vertical="center" wrapText="1"/>
    </xf>
    <xf numFmtId="0" fontId="27" fillId="0" borderId="3" xfId="0" applyFont="1" applyBorder="1" applyAlignment="1">
      <alignment horizontal="center" vertical="center" wrapText="1"/>
    </xf>
    <xf numFmtId="0" fontId="27" fillId="0" borderId="7" xfId="0" applyFont="1" applyBorder="1" applyAlignment="1">
      <alignment horizontal="center" vertical="center" wrapText="1"/>
    </xf>
    <xf numFmtId="0" fontId="27" fillId="0" borderId="31" xfId="0" applyFont="1" applyBorder="1" applyAlignment="1">
      <alignment horizontal="center" vertical="center" wrapText="1"/>
    </xf>
    <xf numFmtId="0" fontId="27" fillId="0" borderId="26" xfId="0" applyFont="1" applyBorder="1" applyAlignment="1">
      <alignment horizontal="center" vertical="center" wrapText="1"/>
    </xf>
    <xf numFmtId="0" fontId="27" fillId="0" borderId="62" xfId="0" applyFont="1" applyBorder="1" applyAlignment="1">
      <alignment horizontal="center" vertical="center" wrapText="1"/>
    </xf>
    <xf numFmtId="0" fontId="27" fillId="0" borderId="30" xfId="0" applyFont="1" applyBorder="1" applyAlignment="1">
      <alignment horizontal="center" vertical="center" wrapText="1"/>
    </xf>
    <xf numFmtId="0" fontId="29" fillId="0" borderId="30" xfId="0" applyFont="1" applyBorder="1" applyAlignment="1">
      <alignment horizontal="center" vertical="center"/>
    </xf>
    <xf numFmtId="0" fontId="29" fillId="0" borderId="7" xfId="0" applyFont="1" applyBorder="1" applyAlignment="1">
      <alignment horizontal="center" vertical="center"/>
    </xf>
    <xf numFmtId="0" fontId="29" fillId="0" borderId="31" xfId="0" applyFont="1" applyBorder="1" applyAlignment="1">
      <alignment horizontal="center" vertical="center"/>
    </xf>
    <xf numFmtId="0" fontId="27" fillId="0" borderId="3" xfId="0" applyFont="1" applyBorder="1" applyAlignment="1">
      <alignment horizontal="left" vertical="center"/>
    </xf>
    <xf numFmtId="0" fontId="27" fillId="0" borderId="7" xfId="0" applyFont="1" applyBorder="1" applyAlignment="1">
      <alignment horizontal="left" vertical="center"/>
    </xf>
    <xf numFmtId="0" fontId="25" fillId="2" borderId="0" xfId="0" applyFont="1" applyFill="1" applyBorder="1" applyAlignment="1" applyProtection="1">
      <alignment horizontal="left" vertical="center"/>
      <protection locked="0"/>
    </xf>
    <xf numFmtId="0" fontId="25" fillId="2" borderId="9" xfId="0" applyFont="1" applyFill="1" applyBorder="1" applyAlignment="1" applyProtection="1">
      <alignment horizontal="left" vertical="center"/>
      <protection locked="0"/>
    </xf>
    <xf numFmtId="0" fontId="27" fillId="0" borderId="8" xfId="0" applyFont="1" applyBorder="1" applyAlignment="1">
      <alignment horizontal="left" vertical="center"/>
    </xf>
    <xf numFmtId="0" fontId="29" fillId="0" borderId="23" xfId="0" applyFont="1" applyBorder="1" applyAlignment="1">
      <alignment horizontal="center" vertical="center"/>
    </xf>
    <xf numFmtId="0" fontId="64" fillId="2" borderId="95" xfId="0" applyFont="1" applyFill="1" applyBorder="1" applyAlignment="1" applyProtection="1">
      <alignment horizontal="center" vertical="center"/>
      <protection locked="0"/>
    </xf>
    <xf numFmtId="0" fontId="31" fillId="2" borderId="26" xfId="0" applyFont="1" applyFill="1" applyBorder="1" applyAlignment="1" applyProtection="1">
      <alignment horizontal="center" vertical="center" wrapText="1"/>
      <protection locked="0"/>
    </xf>
    <xf numFmtId="0" fontId="31" fillId="2" borderId="6" xfId="0" applyFont="1" applyFill="1" applyBorder="1" applyAlignment="1" applyProtection="1">
      <alignment horizontal="center" vertical="center" wrapText="1"/>
      <protection locked="0"/>
    </xf>
    <xf numFmtId="0" fontId="31" fillId="2" borderId="27" xfId="0" applyFont="1" applyFill="1" applyBorder="1" applyAlignment="1" applyProtection="1">
      <alignment horizontal="center" vertical="center" wrapText="1"/>
      <protection locked="0"/>
    </xf>
    <xf numFmtId="0" fontId="31" fillId="2" borderId="2" xfId="0" applyFont="1" applyFill="1" applyBorder="1" applyAlignment="1" applyProtection="1">
      <alignment horizontal="center" vertical="center" wrapText="1"/>
      <protection locked="0"/>
    </xf>
    <xf numFmtId="0" fontId="27" fillId="0" borderId="2" xfId="0" applyFont="1" applyBorder="1" applyAlignment="1">
      <alignment horizontal="center" vertical="center" wrapText="1"/>
    </xf>
    <xf numFmtId="0" fontId="27" fillId="0" borderId="9" xfId="0" applyFont="1" applyBorder="1" applyAlignment="1">
      <alignment horizontal="center" vertical="center" wrapText="1"/>
    </xf>
    <xf numFmtId="0" fontId="27" fillId="0" borderId="4" xfId="0" applyFont="1" applyBorder="1" applyAlignment="1">
      <alignment horizontal="center" vertical="center" wrapText="1"/>
    </xf>
    <xf numFmtId="0" fontId="13" fillId="0" borderId="62" xfId="0" applyFont="1" applyBorder="1" applyAlignment="1">
      <alignment horizontal="center" vertical="center"/>
    </xf>
    <xf numFmtId="0" fontId="13" fillId="0" borderId="0" xfId="0" applyFont="1" applyBorder="1" applyAlignment="1">
      <alignment horizontal="center" vertical="center"/>
    </xf>
    <xf numFmtId="0" fontId="13" fillId="0" borderId="63" xfId="0" applyFont="1" applyBorder="1" applyAlignment="1">
      <alignment horizontal="center" vertical="center"/>
    </xf>
    <xf numFmtId="0" fontId="31" fillId="2" borderId="91" xfId="0" applyFont="1" applyFill="1" applyBorder="1" applyAlignment="1" applyProtection="1">
      <alignment horizontal="center" vertical="center"/>
      <protection locked="0"/>
    </xf>
    <xf numFmtId="0" fontId="31" fillId="2" borderId="92" xfId="0" applyFont="1" applyFill="1" applyBorder="1" applyAlignment="1" applyProtection="1">
      <alignment horizontal="center" vertical="center"/>
      <protection locked="0"/>
    </xf>
    <xf numFmtId="0" fontId="29" fillId="0" borderId="30" xfId="0" applyFont="1" applyBorder="1" applyAlignment="1" applyProtection="1">
      <alignment horizontal="center" vertical="center"/>
    </xf>
    <xf numFmtId="0" fontId="29" fillId="0" borderId="7" xfId="0" applyFont="1" applyBorder="1" applyAlignment="1" applyProtection="1">
      <alignment horizontal="center" vertical="center"/>
    </xf>
    <xf numFmtId="0" fontId="29" fillId="0" borderId="31" xfId="0" applyFont="1" applyBorder="1" applyAlignment="1" applyProtection="1">
      <alignment horizontal="center" vertical="center"/>
    </xf>
    <xf numFmtId="0" fontId="27" fillId="0" borderId="22" xfId="0" applyFont="1" applyBorder="1" applyAlignment="1">
      <alignment horizontal="left" vertical="center"/>
    </xf>
    <xf numFmtId="0" fontId="27" fillId="0" borderId="23" xfId="0" applyFont="1" applyBorder="1" applyAlignment="1">
      <alignment horizontal="left" vertical="center"/>
    </xf>
    <xf numFmtId="0" fontId="27" fillId="0" borderId="66" xfId="0" applyFont="1" applyBorder="1" applyAlignment="1">
      <alignment horizontal="left" vertical="center"/>
    </xf>
    <xf numFmtId="0" fontId="27" fillId="0" borderId="16" xfId="0" applyFont="1" applyBorder="1" applyAlignment="1">
      <alignment horizontal="left" vertical="center"/>
    </xf>
    <xf numFmtId="0" fontId="27" fillId="0" borderId="0" xfId="0" applyFont="1" applyAlignment="1" applyProtection="1">
      <alignment horizontal="center" vertical="center"/>
    </xf>
    <xf numFmtId="0" fontId="21" fillId="0" borderId="45" xfId="0" applyFont="1" applyBorder="1" applyAlignment="1">
      <alignment horizontal="left" vertical="center"/>
    </xf>
    <xf numFmtId="0" fontId="21" fillId="0" borderId="35" xfId="0" applyFont="1" applyBorder="1" applyAlignment="1">
      <alignment horizontal="left" vertical="center"/>
    </xf>
    <xf numFmtId="0" fontId="27" fillId="0" borderId="0" xfId="0" applyFont="1" applyBorder="1" applyAlignment="1" applyProtection="1">
      <alignment horizontal="left" vertical="center"/>
    </xf>
    <xf numFmtId="0" fontId="27" fillId="0" borderId="9" xfId="0" applyFont="1" applyBorder="1" applyAlignment="1" applyProtection="1">
      <alignment horizontal="left" vertical="center"/>
    </xf>
    <xf numFmtId="0" fontId="27" fillId="0" borderId="6" xfId="0" applyFont="1" applyBorder="1" applyAlignment="1" applyProtection="1">
      <alignment horizontal="left" vertical="center"/>
    </xf>
    <xf numFmtId="0" fontId="27" fillId="0" borderId="2" xfId="0" applyFont="1" applyBorder="1" applyAlignment="1" applyProtection="1">
      <alignment horizontal="left" vertical="center"/>
    </xf>
    <xf numFmtId="14" fontId="27" fillId="2" borderId="13" xfId="0" applyNumberFormat="1" applyFont="1" applyFill="1" applyBorder="1" applyAlignment="1" applyProtection="1">
      <alignment horizontal="center" vertical="center"/>
      <protection locked="0"/>
    </xf>
    <xf numFmtId="0" fontId="27" fillId="2" borderId="13" xfId="0" applyFont="1" applyFill="1" applyBorder="1" applyAlignment="1" applyProtection="1">
      <alignment horizontal="center" vertical="center"/>
      <protection locked="0"/>
    </xf>
    <xf numFmtId="0" fontId="50" fillId="0" borderId="28" xfId="0" applyNumberFormat="1" applyFont="1" applyFill="1" applyBorder="1" applyAlignment="1" applyProtection="1">
      <alignment horizontal="center" vertical="center"/>
      <protection locked="0"/>
    </xf>
    <xf numFmtId="0" fontId="50" fillId="0" borderId="23" xfId="0" applyNumberFormat="1" applyFont="1" applyFill="1" applyBorder="1" applyAlignment="1" applyProtection="1">
      <alignment horizontal="center" vertical="center"/>
      <protection locked="0"/>
    </xf>
    <xf numFmtId="0" fontId="50" fillId="0" borderId="29" xfId="0" applyNumberFormat="1" applyFont="1" applyFill="1" applyBorder="1" applyAlignment="1" applyProtection="1">
      <alignment horizontal="center" vertical="center"/>
      <protection locked="0"/>
    </xf>
    <xf numFmtId="0" fontId="27" fillId="2" borderId="35" xfId="0" applyFont="1" applyFill="1" applyBorder="1" applyAlignment="1" applyProtection="1">
      <alignment horizontal="left" vertical="center"/>
      <protection locked="0"/>
    </xf>
    <xf numFmtId="0" fontId="27" fillId="2" borderId="47" xfId="0" applyFont="1" applyFill="1" applyBorder="1" applyAlignment="1" applyProtection="1">
      <alignment horizontal="left" vertical="center"/>
      <protection locked="0"/>
    </xf>
    <xf numFmtId="0" fontId="27" fillId="2" borderId="13" xfId="0" applyNumberFormat="1" applyFont="1" applyFill="1" applyBorder="1" applyAlignment="1" applyProtection="1">
      <alignment horizontal="center" vertical="center"/>
      <protection locked="0"/>
    </xf>
    <xf numFmtId="0" fontId="31" fillId="0" borderId="26" xfId="0" applyFont="1" applyBorder="1" applyAlignment="1">
      <alignment horizontal="center"/>
    </xf>
    <xf numFmtId="0" fontId="31" fillId="0" borderId="6" xfId="0" applyFont="1" applyBorder="1" applyAlignment="1">
      <alignment horizontal="center"/>
    </xf>
    <xf numFmtId="0" fontId="31" fillId="0" borderId="2" xfId="0" applyFont="1" applyBorder="1" applyAlignment="1">
      <alignment horizontal="center"/>
    </xf>
    <xf numFmtId="0" fontId="31" fillId="0" borderId="62" xfId="0" applyFont="1" applyBorder="1" applyAlignment="1">
      <alignment horizontal="center"/>
    </xf>
    <xf numFmtId="0" fontId="31" fillId="0" borderId="0" xfId="0" applyFont="1" applyBorder="1" applyAlignment="1">
      <alignment horizontal="center"/>
    </xf>
    <xf numFmtId="0" fontId="31" fillId="0" borderId="9" xfId="0" applyFont="1" applyBorder="1" applyAlignment="1">
      <alignment horizontal="center"/>
    </xf>
    <xf numFmtId="0" fontId="31" fillId="0" borderId="67" xfId="0" applyFont="1" applyBorder="1" applyAlignment="1">
      <alignment horizontal="center"/>
    </xf>
    <xf numFmtId="0" fontId="31" fillId="0" borderId="13" xfId="0" applyFont="1" applyBorder="1" applyAlignment="1">
      <alignment horizontal="center"/>
    </xf>
    <xf numFmtId="0" fontId="31" fillId="0" borderId="48" xfId="0" applyFont="1" applyBorder="1" applyAlignment="1">
      <alignment horizontal="center"/>
    </xf>
    <xf numFmtId="0" fontId="31" fillId="0" borderId="27" xfId="0" applyFont="1" applyBorder="1" applyAlignment="1">
      <alignment horizontal="center"/>
    </xf>
    <xf numFmtId="0" fontId="31" fillId="0" borderId="15" xfId="0" applyFont="1" applyBorder="1" applyAlignment="1">
      <alignment horizontal="center"/>
    </xf>
    <xf numFmtId="0" fontId="31" fillId="0" borderId="63" xfId="0" applyFont="1" applyBorder="1" applyAlignment="1">
      <alignment horizontal="center"/>
    </xf>
    <xf numFmtId="0" fontId="31" fillId="0" borderId="7" xfId="0" applyFont="1" applyBorder="1" applyAlignment="1" applyProtection="1">
      <alignment horizontal="center"/>
    </xf>
    <xf numFmtId="0" fontId="27" fillId="2" borderId="12" xfId="0" applyNumberFormat="1" applyFont="1" applyFill="1" applyBorder="1" applyAlignment="1" applyProtection="1">
      <alignment horizontal="center" vertical="center"/>
      <protection locked="0"/>
    </xf>
    <xf numFmtId="0" fontId="31" fillId="0" borderId="82" xfId="0" applyFont="1" applyFill="1" applyBorder="1" applyAlignment="1">
      <alignment horizontal="left" vertical="center"/>
    </xf>
    <xf numFmtId="0" fontId="31" fillId="0" borderId="29" xfId="0" applyFont="1" applyFill="1" applyBorder="1" applyAlignment="1">
      <alignment horizontal="left" vertical="center"/>
    </xf>
    <xf numFmtId="0" fontId="31" fillId="0" borderId="12" xfId="0" applyFont="1" applyFill="1" applyBorder="1" applyAlignment="1">
      <alignment horizontal="left" vertical="center"/>
    </xf>
    <xf numFmtId="0" fontId="29" fillId="0" borderId="3" xfId="0" applyFont="1" applyBorder="1" applyAlignment="1">
      <alignment horizontal="left" vertical="center"/>
    </xf>
    <xf numFmtId="0" fontId="29" fillId="0" borderId="22" xfId="0" applyFont="1" applyBorder="1" applyAlignment="1">
      <alignment horizontal="left" vertical="center"/>
    </xf>
    <xf numFmtId="0" fontId="29" fillId="0" borderId="23" xfId="0" applyFont="1" applyBorder="1" applyAlignment="1">
      <alignment horizontal="left" vertical="center"/>
    </xf>
    <xf numFmtId="0" fontId="27" fillId="0" borderId="0" xfId="0" applyFont="1" applyBorder="1" applyAlignment="1">
      <alignment vertical="center"/>
    </xf>
    <xf numFmtId="0" fontId="27" fillId="0" borderId="9" xfId="0" applyFont="1" applyBorder="1" applyAlignment="1">
      <alignment vertical="center"/>
    </xf>
    <xf numFmtId="0" fontId="27" fillId="2" borderId="19" xfId="0" applyNumberFormat="1" applyFont="1" applyFill="1" applyBorder="1" applyAlignment="1" applyProtection="1">
      <alignment horizontal="center" vertical="center"/>
      <protection locked="0"/>
    </xf>
    <xf numFmtId="0" fontId="31" fillId="0" borderId="81" xfId="0" applyFont="1" applyFill="1" applyBorder="1" applyAlignment="1">
      <alignment horizontal="left" vertical="center"/>
    </xf>
    <xf numFmtId="0" fontId="31" fillId="0" borderId="36" xfId="0" applyFont="1" applyFill="1" applyBorder="1" applyAlignment="1">
      <alignment horizontal="left" vertical="center"/>
    </xf>
    <xf numFmtId="0" fontId="31" fillId="0" borderId="17" xfId="0" applyFont="1" applyFill="1" applyBorder="1" applyAlignment="1">
      <alignment horizontal="left" vertical="center"/>
    </xf>
    <xf numFmtId="0" fontId="27" fillId="2" borderId="20" xfId="0" applyNumberFormat="1" applyFont="1" applyFill="1" applyBorder="1" applyAlignment="1" applyProtection="1">
      <alignment horizontal="center" vertical="center"/>
      <protection locked="0"/>
    </xf>
    <xf numFmtId="0" fontId="27" fillId="2" borderId="21" xfId="0" applyNumberFormat="1" applyFont="1" applyFill="1" applyBorder="1" applyAlignment="1" applyProtection="1">
      <alignment horizontal="center" vertical="center"/>
      <protection locked="0"/>
    </xf>
    <xf numFmtId="0" fontId="27" fillId="0" borderId="0" xfId="0" applyFont="1" applyAlignment="1">
      <alignment horizontal="center" vertical="center"/>
    </xf>
    <xf numFmtId="0" fontId="25" fillId="0" borderId="81" xfId="0" applyFont="1" applyBorder="1" applyAlignment="1">
      <alignment horizontal="center" vertical="center"/>
    </xf>
    <xf numFmtId="0" fontId="25" fillId="0" borderId="17" xfId="0" applyFont="1" applyBorder="1" applyAlignment="1">
      <alignment horizontal="center" vertical="center"/>
    </xf>
    <xf numFmtId="0" fontId="25" fillId="0" borderId="18" xfId="0" applyFont="1" applyBorder="1" applyAlignment="1">
      <alignment horizontal="center" vertical="center"/>
    </xf>
    <xf numFmtId="0" fontId="38" fillId="0" borderId="7" xfId="0" applyFont="1" applyFill="1" applyBorder="1" applyAlignment="1">
      <alignment horizontal="left" vertical="center"/>
    </xf>
    <xf numFmtId="0" fontId="38" fillId="0" borderId="4" xfId="0" applyFont="1" applyFill="1" applyBorder="1" applyAlignment="1">
      <alignment horizontal="left" vertical="center"/>
    </xf>
    <xf numFmtId="0" fontId="27" fillId="0" borderId="6" xfId="0" applyFont="1" applyBorder="1" applyAlignment="1">
      <alignment horizontal="left" vertical="center"/>
    </xf>
    <xf numFmtId="0" fontId="27" fillId="0" borderId="2" xfId="0" applyFont="1" applyBorder="1" applyAlignment="1">
      <alignment horizontal="left" vertical="center"/>
    </xf>
    <xf numFmtId="0" fontId="31" fillId="0" borderId="83" xfId="0" applyFont="1" applyFill="1" applyBorder="1" applyAlignment="1">
      <alignment horizontal="left" vertical="center"/>
    </xf>
    <xf numFmtId="0" fontId="31" fillId="0" borderId="38" xfId="0" applyFont="1" applyFill="1" applyBorder="1" applyAlignment="1">
      <alignment horizontal="left" vertical="center"/>
    </xf>
    <xf numFmtId="0" fontId="31" fillId="0" borderId="20" xfId="0" applyFont="1" applyFill="1" applyBorder="1" applyAlignment="1">
      <alignment horizontal="left" vertical="center"/>
    </xf>
    <xf numFmtId="0" fontId="38" fillId="0" borderId="0" xfId="0" applyFont="1" applyFill="1" applyBorder="1" applyAlignment="1">
      <alignment horizontal="left"/>
    </xf>
    <xf numFmtId="0" fontId="31" fillId="2" borderId="13" xfId="0" quotePrefix="1" applyNumberFormat="1" applyFont="1" applyFill="1" applyBorder="1" applyAlignment="1" applyProtection="1">
      <alignment horizontal="center" vertical="center"/>
      <protection locked="0"/>
    </xf>
    <xf numFmtId="0" fontId="31" fillId="2" borderId="13" xfId="0" applyNumberFormat="1" applyFont="1" applyFill="1" applyBorder="1" applyAlignment="1" applyProtection="1">
      <alignment horizontal="center" vertical="center"/>
      <protection locked="0"/>
    </xf>
    <xf numFmtId="0" fontId="31" fillId="0" borderId="65" xfId="0" applyFont="1" applyBorder="1" applyAlignment="1">
      <alignment horizontal="left" vertical="center"/>
    </xf>
    <xf numFmtId="0" fontId="31" fillId="0" borderId="13" xfId="0" applyFont="1" applyBorder="1" applyAlignment="1">
      <alignment horizontal="left" vertical="center"/>
    </xf>
    <xf numFmtId="0" fontId="31" fillId="0" borderId="22" xfId="0" applyFont="1" applyBorder="1" applyAlignment="1">
      <alignment horizontal="left" vertical="center"/>
    </xf>
    <xf numFmtId="0" fontId="31" fillId="0" borderId="23" xfId="0" applyFont="1" applyBorder="1" applyAlignment="1">
      <alignment horizontal="left" vertical="center"/>
    </xf>
    <xf numFmtId="0" fontId="31" fillId="2" borderId="12" xfId="0" applyNumberFormat="1" applyFont="1" applyFill="1" applyBorder="1" applyAlignment="1" applyProtection="1">
      <alignment horizontal="center" vertical="center"/>
      <protection locked="0"/>
    </xf>
    <xf numFmtId="0" fontId="31" fillId="0" borderId="0" xfId="0" applyFont="1" applyBorder="1" applyAlignment="1">
      <alignment horizontal="right"/>
    </xf>
    <xf numFmtId="14" fontId="31" fillId="2" borderId="12" xfId="0" applyNumberFormat="1" applyFont="1" applyFill="1" applyBorder="1" applyAlignment="1" applyProtection="1">
      <alignment horizontal="center" vertical="center"/>
      <protection locked="0"/>
    </xf>
    <xf numFmtId="0" fontId="31" fillId="2" borderId="20" xfId="0" applyNumberFormat="1" applyFont="1" applyFill="1" applyBorder="1" applyAlignment="1" applyProtection="1">
      <alignment horizontal="center" vertical="center"/>
      <protection locked="0"/>
    </xf>
    <xf numFmtId="0" fontId="31" fillId="0" borderId="3" xfId="0" applyFont="1" applyBorder="1" applyAlignment="1">
      <alignment horizontal="left" vertical="center"/>
    </xf>
    <xf numFmtId="0" fontId="31" fillId="0" borderId="7" xfId="0" applyFont="1" applyBorder="1" applyAlignment="1">
      <alignment horizontal="left" vertical="center"/>
    </xf>
    <xf numFmtId="0" fontId="31" fillId="0" borderId="31" xfId="0" applyFont="1" applyBorder="1" applyAlignment="1">
      <alignment horizontal="left" vertical="center"/>
    </xf>
    <xf numFmtId="0" fontId="31" fillId="0" borderId="15" xfId="0" applyFont="1" applyBorder="1" applyAlignment="1">
      <alignment horizontal="left" vertical="center"/>
    </xf>
    <xf numFmtId="0" fontId="31" fillId="2" borderId="28" xfId="0" applyNumberFormat="1" applyFont="1" applyFill="1" applyBorder="1" applyAlignment="1" applyProtection="1">
      <alignment horizontal="center" vertical="center"/>
      <protection locked="0"/>
    </xf>
    <xf numFmtId="0" fontId="31" fillId="2" borderId="23" xfId="0" applyNumberFormat="1" applyFont="1" applyFill="1" applyBorder="1" applyAlignment="1" applyProtection="1">
      <alignment horizontal="center" vertical="center"/>
      <protection locked="0"/>
    </xf>
    <xf numFmtId="0" fontId="31" fillId="2" borderId="24" xfId="0" applyNumberFormat="1" applyFont="1" applyFill="1" applyBorder="1" applyAlignment="1" applyProtection="1">
      <alignment horizontal="center" vertical="center"/>
      <protection locked="0"/>
    </xf>
    <xf numFmtId="0" fontId="31" fillId="2" borderId="64" xfId="0" applyNumberFormat="1" applyFont="1" applyFill="1" applyBorder="1" applyAlignment="1" applyProtection="1">
      <alignment horizontal="center" vertical="center"/>
      <protection locked="0"/>
    </xf>
    <xf numFmtId="0" fontId="31" fillId="2" borderId="37" xfId="0" applyNumberFormat="1" applyFont="1" applyFill="1" applyBorder="1" applyAlignment="1" applyProtection="1">
      <alignment horizontal="center" vertical="center"/>
      <protection locked="0"/>
    </xf>
    <xf numFmtId="0" fontId="31" fillId="2" borderId="49" xfId="0" applyNumberFormat="1" applyFont="1" applyFill="1" applyBorder="1" applyAlignment="1" applyProtection="1">
      <alignment horizontal="center" vertical="center"/>
      <protection locked="0"/>
    </xf>
    <xf numFmtId="0" fontId="31" fillId="0" borderId="6" xfId="0" applyFont="1" applyBorder="1" applyAlignment="1">
      <alignment horizontal="right" vertical="top"/>
    </xf>
    <xf numFmtId="0" fontId="31" fillId="0" borderId="27" xfId="0" applyFont="1" applyBorder="1" applyAlignment="1">
      <alignment horizontal="right" vertical="top"/>
    </xf>
    <xf numFmtId="0" fontId="31" fillId="0" borderId="23" xfId="0" applyFont="1" applyBorder="1" applyAlignment="1">
      <alignment horizontal="center" vertical="center"/>
    </xf>
    <xf numFmtId="0" fontId="31" fillId="0" borderId="29" xfId="0" applyFont="1" applyBorder="1" applyAlignment="1">
      <alignment horizontal="center" vertical="center"/>
    </xf>
    <xf numFmtId="0" fontId="31" fillId="0" borderId="65" xfId="0" applyFont="1" applyBorder="1" applyAlignment="1">
      <alignment horizontal="left"/>
    </xf>
    <xf numFmtId="0" fontId="31" fillId="0" borderId="13" xfId="0" applyFont="1" applyBorder="1" applyAlignment="1">
      <alignment horizontal="left"/>
    </xf>
    <xf numFmtId="0" fontId="31" fillId="0" borderId="15" xfId="0" applyFont="1" applyBorder="1" applyAlignment="1">
      <alignment horizontal="left"/>
    </xf>
    <xf numFmtId="14" fontId="31" fillId="2" borderId="13" xfId="0" applyNumberFormat="1" applyFont="1" applyFill="1" applyBorder="1" applyAlignment="1" applyProtection="1">
      <alignment horizontal="center" vertical="center"/>
      <protection locked="0"/>
    </xf>
    <xf numFmtId="0" fontId="27" fillId="2" borderId="28" xfId="0" applyFont="1" applyFill="1" applyBorder="1" applyAlignment="1" applyProtection="1">
      <alignment horizontal="center" vertical="center" wrapText="1"/>
      <protection locked="0"/>
    </xf>
    <xf numFmtId="0" fontId="27" fillId="2" borderId="23" xfId="0" applyFont="1" applyFill="1" applyBorder="1" applyAlignment="1" applyProtection="1">
      <alignment horizontal="center" vertical="center" wrapText="1"/>
      <protection locked="0"/>
    </xf>
    <xf numFmtId="0" fontId="29" fillId="0" borderId="8" xfId="0" applyFont="1" applyBorder="1" applyAlignment="1" applyProtection="1">
      <alignment horizontal="left" vertical="top"/>
    </xf>
    <xf numFmtId="0" fontId="29" fillId="0" borderId="0" xfId="0" applyFont="1" applyBorder="1" applyAlignment="1" applyProtection="1">
      <alignment horizontal="left" vertical="top"/>
    </xf>
    <xf numFmtId="0" fontId="29" fillId="0" borderId="9" xfId="0" applyFont="1" applyBorder="1" applyAlignment="1" applyProtection="1">
      <alignment horizontal="left" vertical="top"/>
    </xf>
    <xf numFmtId="0" fontId="28" fillId="0" borderId="1" xfId="0" applyFont="1" applyBorder="1" applyAlignment="1" applyProtection="1">
      <alignment horizontal="left" vertical="top"/>
    </xf>
    <xf numFmtId="0" fontId="28" fillId="0" borderId="6" xfId="0" applyFont="1" applyBorder="1" applyAlignment="1" applyProtection="1">
      <alignment horizontal="left" vertical="top"/>
    </xf>
    <xf numFmtId="0" fontId="28" fillId="0" borderId="2" xfId="0" applyFont="1" applyBorder="1" applyAlignment="1" applyProtection="1">
      <alignment horizontal="left" vertical="top"/>
    </xf>
    <xf numFmtId="0" fontId="28" fillId="0" borderId="65" xfId="0" applyFont="1" applyBorder="1" applyAlignment="1" applyProtection="1">
      <alignment horizontal="left" vertical="top"/>
    </xf>
    <xf numFmtId="0" fontId="28" fillId="0" borderId="13" xfId="0" applyFont="1" applyBorder="1" applyAlignment="1" applyProtection="1">
      <alignment horizontal="left" vertical="top"/>
    </xf>
    <xf numFmtId="0" fontId="28" fillId="0" borderId="48" xfId="0" applyFont="1" applyBorder="1" applyAlignment="1" applyProtection="1">
      <alignment horizontal="left" vertical="top"/>
    </xf>
    <xf numFmtId="0" fontId="21" fillId="0" borderId="28" xfId="0" applyFont="1" applyFill="1" applyBorder="1" applyAlignment="1" applyProtection="1">
      <alignment horizontal="center" vertical="center"/>
      <protection locked="0"/>
    </xf>
    <xf numFmtId="0" fontId="21" fillId="0" borderId="29" xfId="0" applyFont="1" applyFill="1" applyBorder="1" applyAlignment="1" applyProtection="1">
      <alignment horizontal="center" vertical="center"/>
      <protection locked="0"/>
    </xf>
    <xf numFmtId="0" fontId="29" fillId="0" borderId="66" xfId="0" applyFont="1" applyBorder="1" applyAlignment="1" applyProtection="1">
      <alignment horizontal="left" vertical="center"/>
    </xf>
    <xf numFmtId="0" fontId="29" fillId="0" borderId="16" xfId="0" applyFont="1" applyBorder="1" applyAlignment="1" applyProtection="1">
      <alignment horizontal="left" vertical="center"/>
    </xf>
    <xf numFmtId="0" fontId="29" fillId="0" borderId="14" xfId="0" applyFont="1" applyBorder="1" applyAlignment="1" applyProtection="1">
      <alignment horizontal="left" vertical="center"/>
    </xf>
    <xf numFmtId="0" fontId="29" fillId="0" borderId="8" xfId="0" applyFont="1" applyBorder="1" applyAlignment="1" applyProtection="1">
      <alignment horizontal="left" vertical="center"/>
    </xf>
    <xf numFmtId="0" fontId="29" fillId="0" borderId="0" xfId="0" applyFont="1" applyBorder="1" applyAlignment="1" applyProtection="1">
      <alignment horizontal="left" vertical="center"/>
    </xf>
    <xf numFmtId="0" fontId="29" fillId="0" borderId="63" xfId="0" applyFont="1" applyBorder="1" applyAlignment="1" applyProtection="1">
      <alignment horizontal="left" vertical="center"/>
    </xf>
    <xf numFmtId="0" fontId="29" fillId="0" borderId="65" xfId="0" applyFont="1" applyBorder="1" applyAlignment="1" applyProtection="1">
      <alignment horizontal="left" vertical="center"/>
    </xf>
    <xf numFmtId="0" fontId="29" fillId="0" borderId="13" xfId="0" applyFont="1" applyBorder="1" applyAlignment="1" applyProtection="1">
      <alignment horizontal="left" vertical="center"/>
    </xf>
    <xf numFmtId="0" fontId="29" fillId="0" borderId="15" xfId="0" applyFont="1" applyBorder="1" applyAlignment="1" applyProtection="1">
      <alignment horizontal="left" vertical="center"/>
    </xf>
    <xf numFmtId="0" fontId="27" fillId="2" borderId="29" xfId="0" applyFont="1" applyFill="1" applyBorder="1" applyAlignment="1" applyProtection="1">
      <alignment horizontal="center" vertical="center" wrapText="1"/>
      <protection locked="0"/>
    </xf>
    <xf numFmtId="0" fontId="5" fillId="2" borderId="64" xfId="0" applyFont="1" applyFill="1" applyBorder="1" applyAlignment="1" applyProtection="1">
      <alignment horizontal="center" vertical="center" wrapText="1"/>
      <protection locked="0"/>
    </xf>
    <xf numFmtId="0" fontId="5" fillId="2" borderId="37" xfId="0" applyFont="1" applyFill="1" applyBorder="1" applyAlignment="1" applyProtection="1">
      <alignment horizontal="center" vertical="center" wrapText="1"/>
      <protection locked="0"/>
    </xf>
    <xf numFmtId="0" fontId="5" fillId="2" borderId="38" xfId="0" applyFont="1" applyFill="1" applyBorder="1" applyAlignment="1" applyProtection="1">
      <alignment horizontal="center" vertical="center" wrapText="1"/>
      <protection locked="0"/>
    </xf>
    <xf numFmtId="49" fontId="5" fillId="2" borderId="64" xfId="0" applyNumberFormat="1" applyFont="1" applyFill="1" applyBorder="1" applyAlignment="1" applyProtection="1">
      <alignment horizontal="center" vertical="center" wrapText="1"/>
      <protection locked="0"/>
    </xf>
    <xf numFmtId="49" fontId="5" fillId="2" borderId="37" xfId="0" applyNumberFormat="1" applyFont="1" applyFill="1" applyBorder="1" applyAlignment="1" applyProtection="1">
      <alignment horizontal="center" vertical="center" wrapText="1"/>
      <protection locked="0"/>
    </xf>
    <xf numFmtId="49" fontId="5" fillId="2" borderId="38" xfId="0" applyNumberFormat="1" applyFont="1" applyFill="1" applyBorder="1" applyAlignment="1" applyProtection="1">
      <alignment horizontal="center" vertical="center" wrapText="1"/>
      <protection locked="0"/>
    </xf>
    <xf numFmtId="0" fontId="5" fillId="2" borderId="64" xfId="0" applyFont="1" applyFill="1" applyBorder="1" applyAlignment="1" applyProtection="1">
      <alignment horizontal="center" vertical="center"/>
      <protection locked="0"/>
    </xf>
    <xf numFmtId="0" fontId="5" fillId="2" borderId="38" xfId="0" applyFont="1" applyFill="1" applyBorder="1" applyAlignment="1" applyProtection="1">
      <alignment horizontal="center" vertical="center"/>
      <protection locked="0"/>
    </xf>
    <xf numFmtId="0" fontId="27" fillId="2" borderId="22" xfId="0" applyFont="1" applyFill="1" applyBorder="1" applyAlignment="1" applyProtection="1">
      <alignment horizontal="center" vertical="center" wrapText="1"/>
      <protection locked="0"/>
    </xf>
    <xf numFmtId="0" fontId="27" fillId="2" borderId="34" xfId="0" applyFont="1" applyFill="1" applyBorder="1" applyAlignment="1" applyProtection="1">
      <alignment horizontal="center" vertical="center" wrapText="1"/>
      <protection locked="0"/>
    </xf>
    <xf numFmtId="0" fontId="27" fillId="2" borderId="35" xfId="0" applyFont="1" applyFill="1" applyBorder="1" applyAlignment="1" applyProtection="1">
      <alignment horizontal="center" vertical="center" wrapText="1"/>
      <protection locked="0"/>
    </xf>
    <xf numFmtId="0" fontId="27" fillId="2" borderId="36" xfId="0" applyFont="1" applyFill="1" applyBorder="1" applyAlignment="1" applyProtection="1">
      <alignment horizontal="center" vertical="center" wrapText="1"/>
      <protection locked="0"/>
    </xf>
    <xf numFmtId="0" fontId="29" fillId="0" borderId="23" xfId="0" applyFont="1" applyBorder="1" applyAlignment="1" applyProtection="1">
      <alignment horizontal="center" vertical="center"/>
    </xf>
    <xf numFmtId="0" fontId="29" fillId="0" borderId="22" xfId="0" applyFont="1" applyBorder="1" applyAlignment="1" applyProtection="1">
      <alignment horizontal="left" vertical="center"/>
    </xf>
    <xf numFmtId="0" fontId="29" fillId="0" borderId="23" xfId="0" applyFont="1" applyBorder="1" applyAlignment="1" applyProtection="1">
      <alignment horizontal="left" vertical="center"/>
    </xf>
    <xf numFmtId="0" fontId="28" fillId="0" borderId="45" xfId="0" applyFont="1" applyBorder="1" applyAlignment="1" applyProtection="1">
      <alignment horizontal="left" vertical="center"/>
    </xf>
    <xf numFmtId="0" fontId="28" fillId="0" borderId="35" xfId="0" applyFont="1" applyBorder="1" applyAlignment="1" applyProtection="1">
      <alignment horizontal="left" vertical="center"/>
    </xf>
    <xf numFmtId="0" fontId="25" fillId="0" borderId="0" xfId="0" applyFont="1" applyBorder="1" applyAlignment="1" applyProtection="1">
      <alignment horizontal="left" vertical="center"/>
    </xf>
    <xf numFmtId="0" fontId="25" fillId="0" borderId="9" xfId="0" applyFont="1" applyBorder="1" applyAlignment="1" applyProtection="1">
      <alignment horizontal="left" vertical="center"/>
    </xf>
    <xf numFmtId="0" fontId="43" fillId="0" borderId="0" xfId="0" applyFont="1" applyBorder="1" applyAlignment="1" applyProtection="1">
      <alignment horizontal="left" vertical="center"/>
    </xf>
    <xf numFmtId="0" fontId="43" fillId="0" borderId="9" xfId="0" applyFont="1" applyBorder="1" applyAlignment="1" applyProtection="1">
      <alignment horizontal="left" vertical="center"/>
    </xf>
    <xf numFmtId="0" fontId="27" fillId="2" borderId="28" xfId="0" applyFont="1" applyFill="1" applyBorder="1" applyAlignment="1" applyProtection="1">
      <alignment horizontal="center" vertical="center"/>
      <protection locked="0"/>
    </xf>
    <xf numFmtId="0" fontId="27" fillId="2" borderId="29" xfId="0" applyFont="1" applyFill="1" applyBorder="1" applyAlignment="1" applyProtection="1">
      <alignment horizontal="center" vertical="center"/>
      <protection locked="0"/>
    </xf>
    <xf numFmtId="0" fontId="29" fillId="0" borderId="3" xfId="0" applyFont="1" applyBorder="1" applyAlignment="1" applyProtection="1">
      <alignment horizontal="left" vertical="center"/>
    </xf>
    <xf numFmtId="0" fontId="29" fillId="0" borderId="7" xfId="0" applyFont="1" applyBorder="1" applyAlignment="1" applyProtection="1">
      <alignment horizontal="left" vertical="center"/>
    </xf>
    <xf numFmtId="0" fontId="27" fillId="0" borderId="26" xfId="0" applyFont="1" applyFill="1" applyBorder="1" applyAlignment="1" applyProtection="1">
      <alignment horizontal="center" vertical="center"/>
    </xf>
    <xf numFmtId="0" fontId="27" fillId="0" borderId="6" xfId="0" applyFont="1" applyFill="1" applyBorder="1" applyAlignment="1" applyProtection="1">
      <alignment horizontal="center" vertical="center"/>
    </xf>
    <xf numFmtId="0" fontId="27" fillId="0" borderId="27" xfId="0" applyFont="1" applyFill="1" applyBorder="1" applyAlignment="1" applyProtection="1">
      <alignment horizontal="center" vertical="center"/>
    </xf>
    <xf numFmtId="0" fontId="27" fillId="0" borderId="26" xfId="0" applyFont="1" applyBorder="1" applyAlignment="1" applyProtection="1">
      <alignment horizontal="center" vertical="center" wrapText="1"/>
    </xf>
    <xf numFmtId="0" fontId="27" fillId="0" borderId="6" xfId="0" applyFont="1" applyBorder="1" applyAlignment="1" applyProtection="1">
      <alignment horizontal="center" vertical="center" wrapText="1"/>
    </xf>
    <xf numFmtId="0" fontId="27" fillId="0" borderId="27" xfId="0" applyFont="1" applyBorder="1" applyAlignment="1" applyProtection="1">
      <alignment horizontal="center" vertical="center" wrapText="1"/>
    </xf>
    <xf numFmtId="0" fontId="27" fillId="0" borderId="30" xfId="0" applyFont="1" applyBorder="1" applyAlignment="1" applyProtection="1">
      <alignment horizontal="center" vertical="center" wrapText="1"/>
    </xf>
    <xf numFmtId="0" fontId="27" fillId="0" borderId="7" xfId="0" applyFont="1" applyBorder="1" applyAlignment="1" applyProtection="1">
      <alignment horizontal="center" vertical="center" wrapText="1"/>
    </xf>
    <xf numFmtId="0" fontId="27" fillId="0" borderId="31" xfId="0" applyFont="1" applyBorder="1" applyAlignment="1" applyProtection="1">
      <alignment horizontal="center" vertical="center" wrapText="1"/>
    </xf>
    <xf numFmtId="0" fontId="27" fillId="0" borderId="30" xfId="0" applyFont="1" applyFill="1" applyBorder="1" applyAlignment="1" applyProtection="1">
      <alignment horizontal="center" vertical="center"/>
    </xf>
    <xf numFmtId="0" fontId="27" fillId="0" borderId="7" xfId="0" applyFont="1" applyFill="1" applyBorder="1" applyAlignment="1" applyProtection="1">
      <alignment horizontal="center" vertical="center"/>
    </xf>
    <xf numFmtId="0" fontId="27" fillId="0" borderId="31" xfId="0" applyFont="1" applyFill="1" applyBorder="1" applyAlignment="1" applyProtection="1">
      <alignment horizontal="center" vertical="center"/>
    </xf>
    <xf numFmtId="0" fontId="27" fillId="2" borderId="45" xfId="0" applyFont="1" applyFill="1" applyBorder="1" applyAlignment="1" applyProtection="1">
      <alignment horizontal="center" vertical="center" wrapText="1"/>
      <protection locked="0"/>
    </xf>
    <xf numFmtId="0" fontId="27" fillId="0" borderId="1" xfId="0" applyFont="1" applyBorder="1" applyAlignment="1" applyProtection="1">
      <alignment horizontal="center" vertical="center" wrapText="1"/>
    </xf>
    <xf numFmtId="0" fontId="27" fillId="0" borderId="3" xfId="0" applyFont="1" applyBorder="1" applyAlignment="1" applyProtection="1">
      <alignment horizontal="center" vertical="center" wrapText="1"/>
    </xf>
    <xf numFmtId="0" fontId="27" fillId="2" borderId="34" xfId="0" applyFont="1" applyFill="1" applyBorder="1" applyAlignment="1" applyProtection="1">
      <alignment horizontal="center" vertical="center"/>
      <protection locked="0"/>
    </xf>
    <xf numFmtId="0" fontId="27" fillId="2" borderId="36" xfId="0" applyFont="1" applyFill="1" applyBorder="1" applyAlignment="1" applyProtection="1">
      <alignment horizontal="center" vertical="center"/>
      <protection locked="0"/>
    </xf>
    <xf numFmtId="0" fontId="5" fillId="2" borderId="46" xfId="0" applyFont="1" applyFill="1" applyBorder="1" applyAlignment="1" applyProtection="1">
      <alignment horizontal="center" vertical="center"/>
      <protection locked="0"/>
    </xf>
    <xf numFmtId="0" fontId="5" fillId="2" borderId="37" xfId="0" applyFont="1" applyFill="1" applyBorder="1" applyAlignment="1" applyProtection="1">
      <alignment horizontal="center" vertical="center"/>
      <protection locked="0"/>
    </xf>
    <xf numFmtId="0" fontId="29" fillId="0" borderId="55" xfId="0" applyFont="1" applyBorder="1" applyAlignment="1" applyProtection="1">
      <alignment horizontal="left" vertical="top"/>
    </xf>
    <xf numFmtId="0" fontId="29" fillId="0" borderId="44" xfId="0" applyFont="1" applyBorder="1" applyAlignment="1" applyProtection="1">
      <alignment horizontal="left" vertical="top"/>
    </xf>
    <xf numFmtId="14" fontId="25" fillId="2" borderId="44" xfId="0" applyNumberFormat="1" applyFont="1" applyFill="1" applyBorder="1" applyAlignment="1" applyProtection="1">
      <alignment horizontal="center" vertical="center"/>
      <protection locked="0"/>
    </xf>
    <xf numFmtId="0" fontId="25" fillId="2" borderId="44" xfId="0" applyFont="1" applyFill="1" applyBorder="1" applyAlignment="1" applyProtection="1">
      <alignment horizontal="center" vertical="center"/>
      <protection locked="0"/>
    </xf>
    <xf numFmtId="0" fontId="29" fillId="0" borderId="44" xfId="0" applyFont="1" applyBorder="1" applyAlignment="1" applyProtection="1">
      <alignment horizontal="center" vertical="top"/>
    </xf>
    <xf numFmtId="0" fontId="25" fillId="2" borderId="51" xfId="0" applyFont="1" applyFill="1" applyBorder="1" applyAlignment="1" applyProtection="1">
      <alignment horizontal="center" vertical="center"/>
      <protection locked="0"/>
    </xf>
    <xf numFmtId="0" fontId="29" fillId="0" borderId="42" xfId="0" applyFont="1" applyBorder="1" applyAlignment="1" applyProtection="1">
      <alignment horizontal="left" vertical="center"/>
    </xf>
    <xf numFmtId="0" fontId="29" fillId="0" borderId="40" xfId="0" applyFont="1" applyBorder="1" applyAlignment="1" applyProtection="1">
      <alignment horizontal="left" vertical="center"/>
    </xf>
    <xf numFmtId="0" fontId="25" fillId="2" borderId="40" xfId="0" applyFont="1" applyFill="1" applyBorder="1" applyAlignment="1" applyProtection="1">
      <alignment horizontal="left" vertical="center"/>
      <protection locked="0"/>
    </xf>
    <xf numFmtId="0" fontId="25" fillId="2" borderId="41" xfId="0" applyFont="1" applyFill="1" applyBorder="1" applyAlignment="1" applyProtection="1">
      <alignment horizontal="left" vertical="center"/>
      <protection locked="0"/>
    </xf>
    <xf numFmtId="0" fontId="25" fillId="2" borderId="44" xfId="0" applyFont="1" applyFill="1" applyBorder="1" applyAlignment="1" applyProtection="1">
      <alignment horizontal="left" vertical="center"/>
      <protection locked="0"/>
    </xf>
    <xf numFmtId="0" fontId="25" fillId="2" borderId="51" xfId="0" applyFont="1" applyFill="1" applyBorder="1" applyAlignment="1" applyProtection="1">
      <alignment horizontal="left" vertical="center"/>
      <protection locked="0"/>
    </xf>
    <xf numFmtId="0" fontId="29" fillId="2" borderId="8" xfId="0" applyFont="1" applyFill="1" applyBorder="1" applyAlignment="1" applyProtection="1">
      <alignment horizontal="left" vertical="top"/>
      <protection locked="0"/>
    </xf>
    <xf numFmtId="0" fontId="29" fillId="2" borderId="0" xfId="0" applyFont="1" applyFill="1" applyBorder="1" applyAlignment="1" applyProtection="1">
      <alignment horizontal="left" vertical="top"/>
      <protection locked="0"/>
    </xf>
    <xf numFmtId="0" fontId="29" fillId="2" borderId="9" xfId="0" applyFont="1" applyFill="1" applyBorder="1" applyAlignment="1" applyProtection="1">
      <alignment horizontal="left" vertical="top"/>
      <protection locked="0"/>
    </xf>
    <xf numFmtId="0" fontId="29" fillId="2" borderId="3" xfId="0" applyFont="1" applyFill="1" applyBorder="1" applyAlignment="1" applyProtection="1">
      <alignment horizontal="left" vertical="top"/>
      <protection locked="0"/>
    </xf>
    <xf numFmtId="0" fontId="29" fillId="2" borderId="7" xfId="0" applyFont="1" applyFill="1" applyBorder="1" applyAlignment="1" applyProtection="1">
      <alignment horizontal="left" vertical="top"/>
      <protection locked="0"/>
    </xf>
    <xf numFmtId="0" fontId="29" fillId="2" borderId="4" xfId="0" applyFont="1" applyFill="1" applyBorder="1" applyAlignment="1" applyProtection="1">
      <alignment horizontal="left" vertical="top"/>
      <protection locked="0"/>
    </xf>
    <xf numFmtId="0" fontId="29" fillId="0" borderId="66" xfId="0" applyFont="1" applyBorder="1" applyAlignment="1" applyProtection="1">
      <alignment horizontal="left" vertical="top"/>
    </xf>
    <xf numFmtId="0" fontId="29" fillId="0" borderId="16" xfId="0" applyFont="1" applyBorder="1" applyAlignment="1" applyProtection="1">
      <alignment horizontal="left" vertical="top"/>
    </xf>
    <xf numFmtId="0" fontId="29" fillId="0" borderId="54" xfId="0" applyFont="1" applyBorder="1" applyAlignment="1" applyProtection="1">
      <alignment horizontal="left" vertical="center"/>
    </xf>
    <xf numFmtId="0" fontId="29" fillId="0" borderId="43" xfId="0" applyFont="1" applyBorder="1" applyAlignment="1" applyProtection="1">
      <alignment horizontal="left" vertical="center"/>
    </xf>
    <xf numFmtId="0" fontId="25" fillId="2" borderId="43" xfId="0" applyFont="1" applyFill="1" applyBorder="1" applyAlignment="1" applyProtection="1">
      <alignment horizontal="left" vertical="center"/>
      <protection locked="0"/>
    </xf>
    <xf numFmtId="0" fontId="25" fillId="2" borderId="50" xfId="0" applyFont="1" applyFill="1" applyBorder="1" applyAlignment="1" applyProtection="1">
      <alignment horizontal="left" vertical="center"/>
      <protection locked="0"/>
    </xf>
    <xf numFmtId="0" fontId="27" fillId="2" borderId="28" xfId="0" applyFont="1" applyFill="1" applyBorder="1" applyAlignment="1" applyProtection="1">
      <alignment horizontal="left" vertical="center" wrapText="1"/>
      <protection locked="0"/>
    </xf>
    <xf numFmtId="0" fontId="27" fillId="2" borderId="23" xfId="0" applyFont="1" applyFill="1" applyBorder="1" applyAlignment="1" applyProtection="1">
      <alignment horizontal="left" vertical="center" wrapText="1"/>
      <protection locked="0"/>
    </xf>
    <xf numFmtId="0" fontId="27" fillId="2" borderId="24" xfId="0" applyFont="1" applyFill="1" applyBorder="1" applyAlignment="1" applyProtection="1">
      <alignment horizontal="left" vertical="center" wrapText="1"/>
      <protection locked="0"/>
    </xf>
    <xf numFmtId="0" fontId="5" fillId="2" borderId="64" xfId="0" applyFont="1" applyFill="1" applyBorder="1" applyAlignment="1" applyProtection="1">
      <alignment horizontal="left" vertical="center" wrapText="1"/>
      <protection locked="0"/>
    </xf>
    <xf numFmtId="0" fontId="5" fillId="2" borderId="37" xfId="0" applyFont="1" applyFill="1" applyBorder="1" applyAlignment="1" applyProtection="1">
      <alignment horizontal="left" vertical="center" wrapText="1"/>
      <protection locked="0"/>
    </xf>
    <xf numFmtId="0" fontId="5" fillId="2" borderId="49" xfId="0" applyFont="1" applyFill="1" applyBorder="1" applyAlignment="1" applyProtection="1">
      <alignment horizontal="left" vertical="center" wrapText="1"/>
      <protection locked="0"/>
    </xf>
    <xf numFmtId="0" fontId="27" fillId="0" borderId="26" xfId="0" applyFont="1" applyFill="1" applyBorder="1" applyAlignment="1" applyProtection="1">
      <alignment horizontal="center" vertical="center" wrapText="1"/>
    </xf>
    <xf numFmtId="0" fontId="27" fillId="0" borderId="27" xfId="0" applyFont="1" applyBorder="1" applyAlignment="1" applyProtection="1">
      <alignment horizontal="center" vertical="center"/>
    </xf>
    <xf numFmtId="0" fontId="27" fillId="0" borderId="30" xfId="0" applyFont="1" applyBorder="1" applyAlignment="1" applyProtection="1">
      <alignment horizontal="center" vertical="center"/>
    </xf>
    <xf numFmtId="0" fontId="27" fillId="0" borderId="31" xfId="0" applyFont="1" applyBorder="1" applyAlignment="1" applyProtection="1">
      <alignment horizontal="center" vertical="center"/>
    </xf>
    <xf numFmtId="0" fontId="27" fillId="0" borderId="2" xfId="0" applyFont="1" applyFill="1" applyBorder="1" applyAlignment="1" applyProtection="1">
      <alignment horizontal="center" vertical="center"/>
    </xf>
    <xf numFmtId="0" fontId="27" fillId="0" borderId="4" xfId="0" applyFont="1" applyFill="1" applyBorder="1" applyAlignment="1" applyProtection="1">
      <alignment horizontal="center" vertical="center"/>
    </xf>
    <xf numFmtId="0" fontId="27" fillId="2" borderId="34" xfId="0" applyFont="1" applyFill="1" applyBorder="1" applyAlignment="1" applyProtection="1">
      <alignment horizontal="left" vertical="center" wrapText="1"/>
      <protection locked="0"/>
    </xf>
    <xf numFmtId="0" fontId="27" fillId="2" borderId="35" xfId="0" applyFont="1" applyFill="1" applyBorder="1" applyAlignment="1" applyProtection="1">
      <alignment horizontal="left" vertical="center" wrapText="1"/>
      <protection locked="0"/>
    </xf>
    <xf numFmtId="0" fontId="27" fillId="2" borderId="47" xfId="0" applyFont="1" applyFill="1" applyBorder="1" applyAlignment="1" applyProtection="1">
      <alignment horizontal="left" vertical="center" wrapText="1"/>
      <protection locked="0"/>
    </xf>
    <xf numFmtId="0" fontId="25" fillId="0" borderId="11" xfId="0" applyFont="1" applyBorder="1" applyAlignment="1">
      <alignment horizontal="center" vertical="center" wrapText="1"/>
    </xf>
    <xf numFmtId="0" fontId="25" fillId="0" borderId="5" xfId="0" applyFont="1" applyBorder="1" applyAlignment="1">
      <alignment horizontal="center" vertical="center" wrapText="1"/>
    </xf>
    <xf numFmtId="0" fontId="25" fillId="2" borderId="34" xfId="0" applyFont="1" applyFill="1" applyBorder="1" applyAlignment="1" applyProtection="1">
      <alignment horizontal="center" vertical="center" wrapText="1"/>
      <protection locked="0"/>
    </xf>
    <xf numFmtId="0" fontId="25" fillId="2" borderId="35" xfId="0" applyFont="1" applyFill="1" applyBorder="1" applyAlignment="1" applyProtection="1">
      <alignment horizontal="center" vertical="center" wrapText="1"/>
      <protection locked="0"/>
    </xf>
    <xf numFmtId="0" fontId="25" fillId="2" borderId="36" xfId="0" applyFont="1" applyFill="1" applyBorder="1" applyAlignment="1" applyProtection="1">
      <alignment horizontal="center" vertical="center" wrapText="1"/>
      <protection locked="0"/>
    </xf>
    <xf numFmtId="0" fontId="29" fillId="2" borderId="22" xfId="0" applyFont="1" applyFill="1" applyBorder="1" applyAlignment="1" applyProtection="1">
      <alignment horizontal="center" vertical="center" wrapText="1"/>
      <protection locked="0"/>
    </xf>
    <xf numFmtId="0" fontId="29" fillId="2" borderId="23" xfId="0" applyFont="1" applyFill="1" applyBorder="1" applyAlignment="1" applyProtection="1">
      <alignment horizontal="center" vertical="center" wrapText="1"/>
      <protection locked="0"/>
    </xf>
    <xf numFmtId="0" fontId="29" fillId="2" borderId="29" xfId="0" applyFont="1" applyFill="1" applyBorder="1" applyAlignment="1" applyProtection="1">
      <alignment horizontal="center" vertical="center" wrapText="1"/>
      <protection locked="0"/>
    </xf>
    <xf numFmtId="0" fontId="29" fillId="2" borderId="28" xfId="0" applyFont="1" applyFill="1" applyBorder="1" applyAlignment="1" applyProtection="1">
      <alignment horizontal="center" vertical="center" wrapText="1"/>
      <protection locked="0"/>
    </xf>
    <xf numFmtId="0" fontId="25" fillId="2" borderId="28" xfId="0" applyFont="1" applyFill="1" applyBorder="1" applyAlignment="1" applyProtection="1">
      <alignment horizontal="center" vertical="center" wrapText="1"/>
      <protection locked="0"/>
    </xf>
    <xf numFmtId="0" fontId="25" fillId="2" borderId="23" xfId="0" applyFont="1" applyFill="1" applyBorder="1" applyAlignment="1" applyProtection="1">
      <alignment horizontal="center" vertical="center" wrapText="1"/>
      <protection locked="0"/>
    </xf>
    <xf numFmtId="0" fontId="25" fillId="2" borderId="29" xfId="0" applyFont="1" applyFill="1" applyBorder="1" applyAlignment="1" applyProtection="1">
      <alignment horizontal="center" vertical="center" wrapText="1"/>
      <protection locked="0"/>
    </xf>
    <xf numFmtId="0" fontId="29" fillId="2" borderId="34" xfId="0" applyFont="1" applyFill="1" applyBorder="1" applyAlignment="1" applyProtection="1">
      <alignment horizontal="center" vertical="center" wrapText="1"/>
      <protection locked="0"/>
    </xf>
    <xf numFmtId="0" fontId="29" fillId="2" borderId="35" xfId="0" applyFont="1" applyFill="1" applyBorder="1" applyAlignment="1" applyProtection="1">
      <alignment horizontal="center" vertical="center" wrapText="1"/>
      <protection locked="0"/>
    </xf>
    <xf numFmtId="0" fontId="29" fillId="2" borderId="47" xfId="0" applyFont="1" applyFill="1" applyBorder="1" applyAlignment="1" applyProtection="1">
      <alignment horizontal="center" vertical="center" wrapText="1"/>
      <protection locked="0"/>
    </xf>
    <xf numFmtId="0" fontId="29" fillId="2" borderId="45" xfId="0" applyFont="1" applyFill="1" applyBorder="1" applyAlignment="1" applyProtection="1">
      <alignment horizontal="center" vertical="center" wrapText="1"/>
      <protection locked="0"/>
    </xf>
    <xf numFmtId="0" fontId="29" fillId="2" borderId="36" xfId="0" applyFont="1" applyFill="1" applyBorder="1" applyAlignment="1" applyProtection="1">
      <alignment horizontal="center" vertical="center" wrapText="1"/>
      <protection locked="0"/>
    </xf>
    <xf numFmtId="0" fontId="25" fillId="0" borderId="10" xfId="0" applyFont="1" applyBorder="1" applyAlignment="1">
      <alignment horizontal="center" vertical="center" wrapText="1"/>
    </xf>
    <xf numFmtId="0" fontId="25" fillId="0" borderId="68" xfId="0" applyFont="1" applyBorder="1" applyAlignment="1">
      <alignment horizontal="center" vertical="center" wrapText="1"/>
    </xf>
    <xf numFmtId="0" fontId="25" fillId="0" borderId="33" xfId="0" applyFont="1" applyBorder="1" applyAlignment="1">
      <alignment horizontal="center" vertical="center" wrapText="1"/>
    </xf>
    <xf numFmtId="0" fontId="29" fillId="2" borderId="24" xfId="0" applyFont="1" applyFill="1" applyBorder="1" applyAlignment="1" applyProtection="1">
      <alignment horizontal="center" vertical="center" wrapText="1"/>
      <protection locked="0"/>
    </xf>
    <xf numFmtId="0" fontId="25" fillId="0" borderId="0" xfId="0" applyFont="1" applyBorder="1" applyAlignment="1">
      <alignment horizontal="left" vertical="center"/>
    </xf>
    <xf numFmtId="0" fontId="25" fillId="0" borderId="9" xfId="0" applyFont="1" applyBorder="1" applyAlignment="1">
      <alignment horizontal="left" vertical="center"/>
    </xf>
    <xf numFmtId="0" fontId="5" fillId="0" borderId="0" xfId="0" applyFont="1" applyBorder="1"/>
    <xf numFmtId="0" fontId="5" fillId="0" borderId="9" xfId="0" applyFont="1" applyBorder="1"/>
    <xf numFmtId="0" fontId="29" fillId="0" borderId="8" xfId="0" applyFont="1" applyBorder="1" applyAlignment="1">
      <alignment horizontal="left" vertical="top" wrapText="1"/>
    </xf>
    <xf numFmtId="0" fontId="29" fillId="0" borderId="0" xfId="0" applyFont="1" applyBorder="1" applyAlignment="1">
      <alignment horizontal="left" vertical="top" wrapText="1"/>
    </xf>
    <xf numFmtId="0" fontId="25" fillId="3" borderId="0" xfId="0" applyFont="1" applyFill="1" applyBorder="1" applyAlignment="1" applyProtection="1">
      <alignment horizontal="left" vertical="center" wrapText="1"/>
    </xf>
    <xf numFmtId="0" fontId="25" fillId="3" borderId="9" xfId="0" applyFont="1" applyFill="1" applyBorder="1" applyAlignment="1" applyProtection="1">
      <alignment horizontal="left" vertical="center" wrapText="1"/>
    </xf>
    <xf numFmtId="0" fontId="29" fillId="0" borderId="54" xfId="0" applyFont="1" applyBorder="1" applyAlignment="1">
      <alignment horizontal="left" vertical="center"/>
    </xf>
    <xf numFmtId="0" fontId="29" fillId="0" borderId="43" xfId="0" applyFont="1" applyBorder="1" applyAlignment="1">
      <alignment horizontal="left" vertical="center"/>
    </xf>
    <xf numFmtId="0" fontId="29" fillId="0" borderId="42" xfId="0" applyFont="1" applyBorder="1" applyAlignment="1">
      <alignment horizontal="left" vertical="center"/>
    </xf>
    <xf numFmtId="0" fontId="29" fillId="0" borderId="40" xfId="0" applyFont="1" applyBorder="1" applyAlignment="1">
      <alignment horizontal="left" vertical="center"/>
    </xf>
    <xf numFmtId="0" fontId="0" fillId="2" borderId="64" xfId="0" applyFill="1" applyBorder="1" applyAlignment="1" applyProtection="1">
      <alignment horizontal="center" vertical="center" wrapText="1"/>
      <protection locked="0"/>
    </xf>
    <xf numFmtId="0" fontId="0" fillId="2" borderId="37" xfId="0" applyFill="1" applyBorder="1" applyAlignment="1" applyProtection="1">
      <alignment horizontal="center" vertical="center" wrapText="1"/>
      <protection locked="0"/>
    </xf>
    <xf numFmtId="0" fontId="0" fillId="2" borderId="49" xfId="0" applyFill="1" applyBorder="1" applyAlignment="1" applyProtection="1">
      <alignment horizontal="center" vertical="center" wrapText="1"/>
      <protection locked="0"/>
    </xf>
    <xf numFmtId="0" fontId="0" fillId="2" borderId="38" xfId="0" applyFill="1" applyBorder="1" applyAlignment="1" applyProtection="1">
      <alignment horizontal="center" vertical="center" wrapText="1"/>
      <protection locked="0"/>
    </xf>
    <xf numFmtId="0" fontId="29" fillId="2" borderId="46" xfId="0" applyFont="1" applyFill="1" applyBorder="1" applyAlignment="1" applyProtection="1">
      <alignment horizontal="center" vertical="center" wrapText="1"/>
      <protection locked="0"/>
    </xf>
    <xf numFmtId="0" fontId="29" fillId="2" borderId="37" xfId="0" applyFont="1" applyFill="1" applyBorder="1" applyAlignment="1" applyProtection="1">
      <alignment horizontal="center" vertical="center" wrapText="1"/>
      <protection locked="0"/>
    </xf>
    <xf numFmtId="0" fontId="29" fillId="2" borderId="38" xfId="0" applyFont="1" applyFill="1" applyBorder="1" applyAlignment="1" applyProtection="1">
      <alignment horizontal="center" vertical="center" wrapText="1"/>
      <protection locked="0"/>
    </xf>
    <xf numFmtId="0" fontId="29" fillId="2" borderId="64" xfId="0" applyFont="1" applyFill="1" applyBorder="1" applyAlignment="1" applyProtection="1">
      <alignment horizontal="center" vertical="center" wrapText="1"/>
      <protection locked="0"/>
    </xf>
    <xf numFmtId="0" fontId="29" fillId="0" borderId="55" xfId="0" applyFont="1" applyBorder="1" applyAlignment="1">
      <alignment horizontal="left" vertical="top"/>
    </xf>
    <xf numFmtId="0" fontId="29" fillId="0" borderId="44" xfId="0" applyFont="1" applyBorder="1" applyAlignment="1">
      <alignment horizontal="left" vertical="top"/>
    </xf>
    <xf numFmtId="0" fontId="29" fillId="0" borderId="44" xfId="0" applyFont="1" applyBorder="1" applyAlignment="1">
      <alignment horizontal="center" vertical="top"/>
    </xf>
    <xf numFmtId="0" fontId="25" fillId="2" borderId="52" xfId="0" applyFont="1" applyFill="1" applyBorder="1" applyAlignment="1" applyProtection="1">
      <alignment horizontal="left" vertical="center"/>
      <protection locked="0"/>
    </xf>
    <xf numFmtId="0" fontId="25" fillId="2" borderId="53" xfId="0" applyFont="1" applyFill="1" applyBorder="1" applyAlignment="1" applyProtection="1">
      <alignment horizontal="left" vertical="center"/>
      <protection locked="0"/>
    </xf>
    <xf numFmtId="0" fontId="29" fillId="0" borderId="84" xfId="0" applyFont="1" applyBorder="1" applyAlignment="1">
      <alignment horizontal="left" vertical="center"/>
    </xf>
    <xf numFmtId="0" fontId="29" fillId="0" borderId="52" xfId="0" applyFont="1" applyBorder="1" applyAlignment="1">
      <alignment horizontal="left" vertical="center"/>
    </xf>
    <xf numFmtId="0" fontId="5" fillId="0" borderId="3" xfId="0" applyFont="1" applyBorder="1" applyAlignment="1" applyProtection="1">
      <alignment horizontal="left"/>
    </xf>
    <xf numFmtId="0" fontId="5" fillId="0" borderId="7" xfId="0" applyFont="1" applyBorder="1" applyAlignment="1" applyProtection="1">
      <alignment horizontal="left"/>
    </xf>
    <xf numFmtId="0" fontId="31" fillId="2" borderId="28" xfId="0" applyFont="1" applyFill="1" applyBorder="1" applyAlignment="1" applyProtection="1">
      <alignment horizontal="left" vertical="center" wrapText="1"/>
      <protection locked="0"/>
    </xf>
    <xf numFmtId="0" fontId="31" fillId="2" borderId="23" xfId="0" applyFont="1" applyFill="1" applyBorder="1" applyAlignment="1" applyProtection="1">
      <alignment horizontal="left" vertical="center" wrapText="1"/>
      <protection locked="0"/>
    </xf>
    <xf numFmtId="0" fontId="31" fillId="2" borderId="24" xfId="0" applyFont="1" applyFill="1" applyBorder="1" applyAlignment="1" applyProtection="1">
      <alignment horizontal="left" vertical="center" wrapText="1"/>
      <protection locked="0"/>
    </xf>
    <xf numFmtId="0" fontId="31" fillId="2" borderId="64" xfId="0" applyFont="1" applyFill="1" applyBorder="1" applyAlignment="1" applyProtection="1">
      <alignment horizontal="left" vertical="center" wrapText="1"/>
      <protection locked="0"/>
    </xf>
    <xf numFmtId="0" fontId="31" fillId="2" borderId="37" xfId="0" applyFont="1" applyFill="1" applyBorder="1" applyAlignment="1" applyProtection="1">
      <alignment horizontal="left" vertical="center" wrapText="1"/>
      <protection locked="0"/>
    </xf>
    <xf numFmtId="0" fontId="31" fillId="2" borderId="49" xfId="0" applyFont="1" applyFill="1" applyBorder="1" applyAlignment="1" applyProtection="1">
      <alignment horizontal="left" vertical="center" wrapText="1"/>
      <protection locked="0"/>
    </xf>
    <xf numFmtId="0" fontId="60" fillId="0" borderId="22" xfId="0" applyFont="1" applyBorder="1" applyAlignment="1" applyProtection="1">
      <alignment horizontal="left" vertical="top"/>
    </xf>
    <xf numFmtId="0" fontId="60" fillId="0" borderId="23" xfId="0" applyFont="1" applyBorder="1" applyAlignment="1" applyProtection="1">
      <alignment horizontal="left" vertical="top"/>
    </xf>
    <xf numFmtId="0" fontId="60" fillId="0" borderId="3" xfId="0" applyFont="1" applyBorder="1" applyAlignment="1" applyProtection="1">
      <alignment horizontal="left" vertical="top"/>
    </xf>
    <xf numFmtId="0" fontId="60" fillId="0" borderId="7" xfId="0" applyFont="1" applyBorder="1" applyAlignment="1" applyProtection="1">
      <alignment horizontal="left" vertical="top"/>
    </xf>
    <xf numFmtId="0" fontId="25" fillId="2" borderId="105" xfId="0" applyFont="1" applyFill="1" applyBorder="1" applyAlignment="1" applyProtection="1">
      <alignment horizontal="center" vertical="center" wrapText="1"/>
      <protection locked="0"/>
    </xf>
    <xf numFmtId="0" fontId="25" fillId="2" borderId="106" xfId="0" applyFont="1" applyFill="1" applyBorder="1" applyAlignment="1" applyProtection="1">
      <alignment horizontal="center" vertical="center" wrapText="1"/>
      <protection locked="0"/>
    </xf>
    <xf numFmtId="0" fontId="25" fillId="2" borderId="102" xfId="0" applyFont="1" applyFill="1" applyBorder="1" applyAlignment="1" applyProtection="1">
      <alignment horizontal="center" vertical="center" wrapText="1"/>
      <protection locked="0"/>
    </xf>
    <xf numFmtId="0" fontId="25" fillId="2" borderId="101" xfId="0" applyFont="1" applyFill="1" applyBorder="1" applyAlignment="1" applyProtection="1">
      <alignment horizontal="center" vertical="center" wrapText="1"/>
      <protection locked="0"/>
    </xf>
    <xf numFmtId="0" fontId="25" fillId="2" borderId="104" xfId="0" applyFont="1" applyFill="1" applyBorder="1" applyAlignment="1" applyProtection="1">
      <alignment horizontal="center" vertical="center" wrapText="1"/>
      <protection locked="0"/>
    </xf>
    <xf numFmtId="0" fontId="25" fillId="2" borderId="57" xfId="0" applyFont="1" applyFill="1" applyBorder="1" applyAlignment="1" applyProtection="1">
      <alignment horizontal="center" vertical="center" wrapText="1"/>
      <protection locked="0"/>
    </xf>
    <xf numFmtId="0" fontId="25" fillId="2" borderId="103" xfId="0" applyFont="1" applyFill="1" applyBorder="1" applyAlignment="1" applyProtection="1">
      <alignment horizontal="center" vertical="center" wrapText="1"/>
      <protection locked="0"/>
    </xf>
    <xf numFmtId="0" fontId="5" fillId="0" borderId="1" xfId="0" applyFont="1" applyBorder="1" applyAlignment="1" applyProtection="1">
      <alignment horizontal="left" vertical="center"/>
    </xf>
    <xf numFmtId="0" fontId="5" fillId="0" borderId="6" xfId="0" applyFont="1" applyBorder="1" applyAlignment="1" applyProtection="1">
      <alignment horizontal="left" vertical="center"/>
    </xf>
    <xf numFmtId="0" fontId="5" fillId="0" borderId="58" xfId="0" applyFont="1" applyBorder="1" applyAlignment="1" applyProtection="1">
      <alignment horizontal="left" vertical="top"/>
    </xf>
    <xf numFmtId="0" fontId="5" fillId="0" borderId="45" xfId="0" applyFont="1" applyBorder="1" applyAlignment="1" applyProtection="1">
      <alignment horizontal="left" vertical="top"/>
    </xf>
    <xf numFmtId="0" fontId="5" fillId="0" borderId="35" xfId="0" applyFont="1" applyBorder="1" applyAlignment="1" applyProtection="1">
      <alignment horizontal="left" vertical="top"/>
    </xf>
    <xf numFmtId="0" fontId="31" fillId="2" borderId="34" xfId="0" applyFont="1" applyFill="1" applyBorder="1" applyAlignment="1" applyProtection="1">
      <alignment horizontal="left" vertical="center" wrapText="1"/>
      <protection locked="0"/>
    </xf>
    <xf numFmtId="0" fontId="31" fillId="2" borderId="35" xfId="0" applyFont="1" applyFill="1" applyBorder="1" applyAlignment="1" applyProtection="1">
      <alignment horizontal="left" vertical="center" wrapText="1"/>
      <protection locked="0"/>
    </xf>
    <xf numFmtId="0" fontId="31" fillId="2" borderId="47" xfId="0" applyFont="1" applyFill="1" applyBorder="1" applyAlignment="1" applyProtection="1">
      <alignment horizontal="left" vertical="center" wrapText="1"/>
      <protection locked="0"/>
    </xf>
    <xf numFmtId="0" fontId="5" fillId="0" borderId="117" xfId="0" applyFont="1" applyBorder="1" applyAlignment="1" applyProtection="1">
      <alignment horizontal="left"/>
    </xf>
    <xf numFmtId="0" fontId="5" fillId="0" borderId="107" xfId="0" applyFont="1" applyBorder="1" applyAlignment="1" applyProtection="1">
      <alignment horizontal="left"/>
    </xf>
    <xf numFmtId="0" fontId="5" fillId="0" borderId="115" xfId="0" applyFont="1" applyBorder="1" applyAlignment="1" applyProtection="1">
      <alignment horizontal="left"/>
    </xf>
    <xf numFmtId="0" fontId="25" fillId="2" borderId="112" xfId="0" applyFont="1" applyFill="1" applyBorder="1" applyAlignment="1" applyProtection="1">
      <alignment horizontal="center" vertical="center" wrapText="1"/>
      <protection locked="0"/>
    </xf>
    <xf numFmtId="0" fontId="25" fillId="2" borderId="110" xfId="0" applyFont="1" applyFill="1" applyBorder="1" applyAlignment="1" applyProtection="1">
      <alignment horizontal="center" vertical="center" wrapText="1"/>
      <protection locked="0"/>
    </xf>
    <xf numFmtId="0" fontId="25" fillId="2" borderId="82" xfId="0" applyFont="1" applyFill="1" applyBorder="1" applyAlignment="1" applyProtection="1">
      <alignment horizontal="center" vertical="center" wrapText="1"/>
      <protection locked="0"/>
    </xf>
    <xf numFmtId="0" fontId="25" fillId="2" borderId="12" xfId="0" applyFont="1" applyFill="1" applyBorder="1" applyAlignment="1" applyProtection="1">
      <alignment horizontal="center" vertical="center" wrapText="1"/>
      <protection locked="0"/>
    </xf>
    <xf numFmtId="0" fontId="5" fillId="0" borderId="100" xfId="0" applyFont="1" applyBorder="1" applyAlignment="1" applyProtection="1">
      <alignment horizontal="left" vertical="top"/>
    </xf>
    <xf numFmtId="0" fontId="5" fillId="0" borderId="8" xfId="0" applyFont="1" applyBorder="1" applyAlignment="1" applyProtection="1">
      <alignment horizontal="left"/>
    </xf>
    <xf numFmtId="0" fontId="5" fillId="0" borderId="0" xfId="0" applyFont="1" applyBorder="1" applyAlignment="1" applyProtection="1">
      <alignment horizontal="left"/>
    </xf>
    <xf numFmtId="0" fontId="25" fillId="2" borderId="113" xfId="0" applyFont="1" applyFill="1" applyBorder="1" applyAlignment="1" applyProtection="1">
      <alignment horizontal="center" vertical="center" wrapText="1"/>
      <protection locked="0"/>
    </xf>
    <xf numFmtId="0" fontId="25" fillId="2" borderId="19" xfId="0" applyFont="1" applyFill="1" applyBorder="1" applyAlignment="1" applyProtection="1">
      <alignment horizontal="center" vertical="center" wrapText="1"/>
      <protection locked="0"/>
    </xf>
    <xf numFmtId="0" fontId="0" fillId="0" borderId="12" xfId="0" applyBorder="1" applyAlignment="1" applyProtection="1">
      <alignment horizontal="center"/>
    </xf>
    <xf numFmtId="0" fontId="0" fillId="0" borderId="19" xfId="0" applyBorder="1" applyAlignment="1" applyProtection="1">
      <alignment horizontal="center"/>
    </xf>
    <xf numFmtId="0" fontId="5" fillId="0" borderId="111" xfId="0" applyFont="1" applyBorder="1" applyAlignment="1" applyProtection="1">
      <alignment horizontal="left"/>
    </xf>
    <xf numFmtId="0" fontId="5" fillId="0" borderId="109" xfId="0" applyFont="1" applyBorder="1" applyAlignment="1" applyProtection="1">
      <alignment horizontal="left"/>
    </xf>
    <xf numFmtId="0" fontId="25" fillId="2" borderId="109" xfId="0" applyFont="1" applyFill="1" applyBorder="1" applyAlignment="1" applyProtection="1">
      <alignment horizontal="center" vertical="center" wrapText="1"/>
      <protection locked="0"/>
    </xf>
    <xf numFmtId="0" fontId="25" fillId="2" borderId="107" xfId="0" applyFont="1" applyFill="1" applyBorder="1" applyAlignment="1" applyProtection="1">
      <alignment horizontal="center" vertical="center" wrapText="1"/>
      <protection locked="0"/>
    </xf>
    <xf numFmtId="0" fontId="25" fillId="2" borderId="109" xfId="0" applyFont="1" applyFill="1" applyBorder="1" applyAlignment="1" applyProtection="1">
      <alignment horizontal="left" vertical="top" wrapText="1"/>
      <protection locked="0"/>
    </xf>
    <xf numFmtId="0" fontId="25" fillId="2" borderId="107" xfId="0" applyFont="1" applyFill="1" applyBorder="1" applyAlignment="1" applyProtection="1">
      <alignment horizontal="left" vertical="top" wrapText="1"/>
      <protection locked="0"/>
    </xf>
    <xf numFmtId="0" fontId="25" fillId="2" borderId="110" xfId="0" applyFont="1" applyFill="1" applyBorder="1" applyAlignment="1" applyProtection="1">
      <alignment horizontal="left" vertical="top" wrapText="1"/>
      <protection locked="0"/>
    </xf>
    <xf numFmtId="0" fontId="25" fillId="2" borderId="63" xfId="0" applyFont="1" applyFill="1" applyBorder="1" applyAlignment="1" applyProtection="1">
      <alignment horizontal="left" vertical="center" wrapText="1"/>
      <protection locked="0"/>
    </xf>
    <xf numFmtId="0" fontId="25" fillId="2" borderId="65" xfId="0" applyFont="1" applyFill="1" applyBorder="1" applyAlignment="1" applyProtection="1">
      <alignment horizontal="left" vertical="center" wrapText="1"/>
      <protection locked="0"/>
    </xf>
    <xf numFmtId="0" fontId="25" fillId="2" borderId="13" xfId="0" applyFont="1" applyFill="1" applyBorder="1" applyAlignment="1" applyProtection="1">
      <alignment horizontal="left" vertical="center" wrapText="1"/>
      <protection locked="0"/>
    </xf>
    <xf numFmtId="0" fontId="25" fillId="2" borderId="15" xfId="0" applyFont="1" applyFill="1" applyBorder="1" applyAlignment="1" applyProtection="1">
      <alignment horizontal="left" vertical="center" wrapText="1"/>
      <protection locked="0"/>
    </xf>
    <xf numFmtId="0" fontId="25" fillId="2" borderId="62" xfId="0" applyFont="1" applyFill="1" applyBorder="1" applyAlignment="1" applyProtection="1">
      <alignment horizontal="center" vertical="center" wrapText="1"/>
      <protection locked="0"/>
    </xf>
    <xf numFmtId="0" fontId="25" fillId="2" borderId="0" xfId="0" applyFont="1" applyFill="1" applyBorder="1" applyAlignment="1" applyProtection="1">
      <alignment horizontal="center" vertical="center" wrapText="1"/>
      <protection locked="0"/>
    </xf>
    <xf numFmtId="0" fontId="25" fillId="2" borderId="9" xfId="0" applyFont="1" applyFill="1" applyBorder="1" applyAlignment="1" applyProtection="1">
      <alignment horizontal="center" vertical="center" wrapText="1"/>
      <protection locked="0"/>
    </xf>
    <xf numFmtId="0" fontId="25" fillId="2" borderId="67" xfId="0" applyFont="1" applyFill="1" applyBorder="1" applyAlignment="1" applyProtection="1">
      <alignment horizontal="center" vertical="center" wrapText="1"/>
      <protection locked="0"/>
    </xf>
    <xf numFmtId="0" fontId="25" fillId="2" borderId="13" xfId="0" applyFont="1" applyFill="1" applyBorder="1" applyAlignment="1" applyProtection="1">
      <alignment horizontal="center" vertical="center" wrapText="1"/>
      <protection locked="0"/>
    </xf>
    <xf numFmtId="0" fontId="25" fillId="2" borderId="48" xfId="0" applyFont="1" applyFill="1" applyBorder="1" applyAlignment="1" applyProtection="1">
      <alignment horizontal="center" vertical="center" wrapText="1"/>
      <protection locked="0"/>
    </xf>
    <xf numFmtId="0" fontId="25" fillId="0" borderId="62" xfId="0" applyFont="1" applyFill="1" applyBorder="1" applyAlignment="1" applyProtection="1">
      <alignment horizontal="center" vertical="center" wrapText="1"/>
    </xf>
    <xf numFmtId="0" fontId="25" fillId="0" borderId="0" xfId="0" applyFont="1" applyFill="1" applyBorder="1" applyAlignment="1" applyProtection="1">
      <alignment horizontal="center" vertical="center" wrapText="1"/>
    </xf>
    <xf numFmtId="0" fontId="25" fillId="0" borderId="9" xfId="0" applyFont="1" applyFill="1" applyBorder="1" applyAlignment="1" applyProtection="1">
      <alignment horizontal="center" vertical="center" wrapText="1"/>
    </xf>
    <xf numFmtId="0" fontId="25" fillId="0" borderId="30" xfId="0" applyFont="1" applyFill="1" applyBorder="1" applyAlignment="1" applyProtection="1">
      <alignment horizontal="center" vertical="center" wrapText="1"/>
    </xf>
    <xf numFmtId="0" fontId="25" fillId="0" borderId="7" xfId="0" applyFont="1" applyFill="1" applyBorder="1" applyAlignment="1" applyProtection="1">
      <alignment horizontal="center" vertical="center" wrapText="1"/>
    </xf>
    <xf numFmtId="0" fontId="25" fillId="0" borderId="4" xfId="0" applyFont="1" applyFill="1" applyBorder="1" applyAlignment="1" applyProtection="1">
      <alignment horizontal="center" vertical="center" wrapText="1"/>
    </xf>
    <xf numFmtId="0" fontId="25" fillId="2" borderId="31" xfId="0" applyFont="1" applyFill="1" applyBorder="1" applyAlignment="1" applyProtection="1">
      <alignment horizontal="left" vertical="center" wrapText="1"/>
      <protection locked="0"/>
    </xf>
    <xf numFmtId="0" fontId="25" fillId="2" borderId="8" xfId="0" applyFont="1" applyFill="1" applyBorder="1" applyAlignment="1" applyProtection="1">
      <alignment horizontal="center" vertical="center" wrapText="1"/>
      <protection locked="0"/>
    </xf>
    <xf numFmtId="0" fontId="25" fillId="2" borderId="63" xfId="0" applyFont="1" applyFill="1" applyBorder="1" applyAlignment="1" applyProtection="1">
      <alignment horizontal="center" vertical="center" wrapText="1"/>
      <protection locked="0"/>
    </xf>
    <xf numFmtId="0" fontId="25" fillId="2" borderId="3" xfId="0" applyFont="1" applyFill="1" applyBorder="1" applyAlignment="1" applyProtection="1">
      <alignment horizontal="center" vertical="center" wrapText="1"/>
      <protection locked="0"/>
    </xf>
    <xf numFmtId="0" fontId="25" fillId="2" borderId="7" xfId="0" applyFont="1" applyFill="1" applyBorder="1" applyAlignment="1" applyProtection="1">
      <alignment horizontal="center" vertical="center" wrapText="1"/>
      <protection locked="0"/>
    </xf>
    <xf numFmtId="0" fontId="25" fillId="2" borderId="31" xfId="0" applyFont="1" applyFill="1" applyBorder="1" applyAlignment="1" applyProtection="1">
      <alignment horizontal="center" vertical="center" wrapText="1"/>
      <protection locked="0"/>
    </xf>
    <xf numFmtId="0" fontId="25" fillId="2" borderId="4" xfId="0" applyFont="1" applyFill="1" applyBorder="1" applyAlignment="1" applyProtection="1">
      <alignment horizontal="center" vertical="center" wrapText="1"/>
      <protection locked="0"/>
    </xf>
    <xf numFmtId="0" fontId="5" fillId="0" borderId="47" xfId="0" applyFont="1" applyBorder="1" applyAlignment="1" applyProtection="1">
      <alignment horizontal="left" vertical="top"/>
    </xf>
    <xf numFmtId="0" fontId="25" fillId="2" borderId="83" xfId="0" applyFont="1" applyFill="1" applyBorder="1" applyAlignment="1" applyProtection="1">
      <alignment horizontal="center" vertical="center" wrapText="1"/>
      <protection locked="0"/>
    </xf>
    <xf numFmtId="0" fontId="25" fillId="2" borderId="20" xfId="0" applyFont="1" applyFill="1" applyBorder="1" applyAlignment="1" applyProtection="1">
      <alignment horizontal="center" vertical="center" wrapText="1"/>
      <protection locked="0"/>
    </xf>
    <xf numFmtId="0" fontId="5" fillId="0" borderId="7" xfId="0" applyFont="1" applyBorder="1" applyAlignment="1" applyProtection="1">
      <alignment horizontal="center" vertical="center"/>
    </xf>
    <xf numFmtId="0" fontId="25" fillId="2" borderId="114" xfId="0" applyFont="1" applyFill="1" applyBorder="1" applyAlignment="1" applyProtection="1">
      <alignment horizontal="center" vertical="center" wrapText="1"/>
      <protection locked="0"/>
    </xf>
    <xf numFmtId="0" fontId="25" fillId="2" borderId="115" xfId="0" applyFont="1" applyFill="1" applyBorder="1" applyAlignment="1" applyProtection="1">
      <alignment horizontal="center" vertical="center" wrapText="1"/>
      <protection locked="0"/>
    </xf>
    <xf numFmtId="0" fontId="25" fillId="2" borderId="108" xfId="0" applyFont="1" applyFill="1" applyBorder="1" applyAlignment="1" applyProtection="1">
      <alignment horizontal="center" vertical="center" wrapText="1"/>
      <protection locked="0"/>
    </xf>
    <xf numFmtId="0" fontId="25" fillId="2" borderId="116" xfId="0" applyFont="1" applyFill="1" applyBorder="1" applyAlignment="1" applyProtection="1">
      <alignment horizontal="center" vertical="center" wrapText="1"/>
      <protection locked="0"/>
    </xf>
    <xf numFmtId="0" fontId="25" fillId="2" borderId="108" xfId="0" applyFont="1" applyFill="1" applyBorder="1" applyAlignment="1" applyProtection="1">
      <alignment horizontal="left" vertical="top" wrapText="1"/>
      <protection locked="0"/>
    </xf>
    <xf numFmtId="0" fontId="0" fillId="0" borderId="0" xfId="0" applyAlignment="1" applyProtection="1">
      <alignment horizontal="center"/>
    </xf>
    <xf numFmtId="0" fontId="0" fillId="0" borderId="7" xfId="0" applyBorder="1" applyAlignment="1" applyProtection="1">
      <alignment horizontal="center"/>
    </xf>
    <xf numFmtId="0" fontId="5" fillId="0" borderId="27" xfId="0" applyFont="1" applyBorder="1" applyAlignment="1" applyProtection="1">
      <alignment horizontal="left" vertical="center"/>
    </xf>
    <xf numFmtId="0" fontId="5" fillId="0" borderId="8" xfId="0" applyFont="1" applyBorder="1" applyAlignment="1" applyProtection="1">
      <alignment horizontal="left" vertical="center"/>
    </xf>
    <xf numFmtId="0" fontId="5" fillId="0" borderId="0" xfId="0" applyFont="1" applyBorder="1" applyAlignment="1" applyProtection="1">
      <alignment horizontal="left" vertical="center"/>
    </xf>
    <xf numFmtId="0" fontId="5" fillId="0" borderId="63" xfId="0" applyFont="1" applyBorder="1" applyAlignment="1" applyProtection="1">
      <alignment horizontal="left" vertical="center"/>
    </xf>
    <xf numFmtId="0" fontId="5" fillId="0" borderId="26" xfId="0" applyFont="1" applyBorder="1" applyAlignment="1" applyProtection="1">
      <alignment horizontal="left" vertical="center"/>
    </xf>
    <xf numFmtId="0" fontId="5" fillId="0" borderId="2" xfId="0" applyFont="1" applyBorder="1" applyAlignment="1" applyProtection="1">
      <alignment horizontal="left" vertical="center"/>
    </xf>
    <xf numFmtId="0" fontId="5" fillId="0" borderId="6" xfId="0" applyFont="1" applyBorder="1" applyAlignment="1" applyProtection="1">
      <alignment horizontal="left" vertical="top"/>
    </xf>
    <xf numFmtId="0" fontId="5" fillId="0" borderId="2" xfId="0" applyFont="1" applyBorder="1" applyAlignment="1" applyProtection="1">
      <alignment horizontal="left" vertical="top"/>
    </xf>
    <xf numFmtId="0" fontId="5" fillId="0" borderId="1" xfId="0" applyFont="1" applyBorder="1" applyAlignment="1" applyProtection="1">
      <alignment horizontal="left" vertical="top"/>
    </xf>
    <xf numFmtId="0" fontId="5" fillId="0" borderId="27" xfId="0" applyFont="1" applyBorder="1" applyAlignment="1" applyProtection="1">
      <alignment horizontal="left" vertical="top"/>
    </xf>
    <xf numFmtId="0" fontId="66" fillId="0" borderId="6" xfId="0" applyFont="1" applyBorder="1" applyAlignment="1" applyProtection="1">
      <alignment horizontal="center" vertical="center" wrapText="1"/>
    </xf>
    <xf numFmtId="0" fontId="66" fillId="0" borderId="0" xfId="0" applyFont="1" applyBorder="1" applyAlignment="1" applyProtection="1">
      <alignment horizontal="center" vertical="center" wrapText="1"/>
    </xf>
    <xf numFmtId="0" fontId="9" fillId="0" borderId="0" xfId="0" applyFont="1" applyBorder="1" applyAlignment="1" applyProtection="1">
      <alignment horizontal="center" vertical="top"/>
    </xf>
    <xf numFmtId="0" fontId="9" fillId="0" borderId="7" xfId="0" applyFont="1" applyBorder="1" applyAlignment="1" applyProtection="1">
      <alignment horizontal="center" vertical="top"/>
    </xf>
    <xf numFmtId="0" fontId="5" fillId="0" borderId="12" xfId="0" applyFont="1" applyBorder="1" applyAlignment="1" applyProtection="1">
      <alignment horizontal="center" vertical="top"/>
    </xf>
    <xf numFmtId="0" fontId="5" fillId="0" borderId="19" xfId="0" applyFont="1" applyBorder="1" applyAlignment="1" applyProtection="1">
      <alignment horizontal="center" vertical="top"/>
    </xf>
    <xf numFmtId="0" fontId="33" fillId="2" borderId="12" xfId="0" applyFont="1" applyFill="1" applyBorder="1" applyAlignment="1" applyProtection="1">
      <alignment horizontal="center" vertical="top" wrapText="1"/>
      <protection locked="0"/>
    </xf>
    <xf numFmtId="0" fontId="25" fillId="2" borderId="12" xfId="0" applyFont="1" applyFill="1" applyBorder="1" applyAlignment="1" applyProtection="1">
      <alignment horizontal="center" vertical="top" wrapText="1"/>
      <protection locked="0"/>
    </xf>
    <xf numFmtId="0" fontId="33" fillId="2" borderId="32" xfId="0" applyFont="1" applyFill="1" applyBorder="1" applyAlignment="1" applyProtection="1">
      <alignment horizontal="center" vertical="top" wrapText="1"/>
      <protection locked="0"/>
    </xf>
    <xf numFmtId="0" fontId="33" fillId="2" borderId="16" xfId="0" applyFont="1" applyFill="1" applyBorder="1" applyAlignment="1" applyProtection="1">
      <alignment horizontal="center" vertical="top" wrapText="1"/>
      <protection locked="0"/>
    </xf>
    <xf numFmtId="0" fontId="33" fillId="2" borderId="56" xfId="0" applyFont="1" applyFill="1" applyBorder="1" applyAlignment="1" applyProtection="1">
      <alignment horizontal="center" vertical="top" wrapText="1"/>
      <protection locked="0"/>
    </xf>
    <xf numFmtId="0" fontId="33" fillId="2" borderId="62" xfId="0" applyFont="1" applyFill="1" applyBorder="1" applyAlignment="1" applyProtection="1">
      <alignment horizontal="center" vertical="top" wrapText="1"/>
      <protection locked="0"/>
    </xf>
    <xf numFmtId="0" fontId="33" fillId="2" borderId="0" xfId="0" applyFont="1" applyFill="1" applyBorder="1" applyAlignment="1" applyProtection="1">
      <alignment horizontal="center" vertical="top" wrapText="1"/>
      <protection locked="0"/>
    </xf>
    <xf numFmtId="0" fontId="33" fillId="2" borderId="9" xfId="0" applyFont="1" applyFill="1" applyBorder="1" applyAlignment="1" applyProtection="1">
      <alignment horizontal="center" vertical="top" wrapText="1"/>
      <protection locked="0"/>
    </xf>
    <xf numFmtId="0" fontId="33" fillId="2" borderId="67" xfId="0" applyFont="1" applyFill="1" applyBorder="1" applyAlignment="1" applyProtection="1">
      <alignment horizontal="center" vertical="top" wrapText="1"/>
      <protection locked="0"/>
    </xf>
    <xf numFmtId="0" fontId="33" fillId="2" borderId="13" xfId="0" applyFont="1" applyFill="1" applyBorder="1" applyAlignment="1" applyProtection="1">
      <alignment horizontal="center" vertical="top" wrapText="1"/>
      <protection locked="0"/>
    </xf>
    <xf numFmtId="0" fontId="33" fillId="2" borderId="48" xfId="0" applyFont="1" applyFill="1" applyBorder="1" applyAlignment="1" applyProtection="1">
      <alignment horizontal="center" vertical="top" wrapText="1"/>
      <protection locked="0"/>
    </xf>
    <xf numFmtId="0" fontId="5" fillId="0" borderId="82" xfId="0" applyFont="1" applyBorder="1" applyAlignment="1" applyProtection="1">
      <alignment horizontal="left" vertical="top"/>
    </xf>
    <xf numFmtId="0" fontId="5" fillId="0" borderId="12" xfId="0" applyFont="1" applyBorder="1" applyAlignment="1" applyProtection="1">
      <alignment horizontal="left" vertical="top"/>
    </xf>
    <xf numFmtId="0" fontId="5" fillId="0" borderId="83" xfId="0" applyFont="1" applyBorder="1" applyAlignment="1" applyProtection="1">
      <alignment horizontal="left" vertical="top"/>
    </xf>
    <xf numFmtId="0" fontId="5" fillId="0" borderId="20" xfId="0" applyFont="1" applyBorder="1" applyAlignment="1" applyProtection="1">
      <alignment horizontal="left" vertical="top"/>
    </xf>
    <xf numFmtId="0" fontId="67" fillId="0" borderId="81" xfId="0" applyFont="1" applyBorder="1" applyAlignment="1" applyProtection="1">
      <alignment horizontal="left" vertical="center"/>
    </xf>
    <xf numFmtId="0" fontId="67" fillId="0" borderId="17" xfId="0" applyFont="1" applyBorder="1" applyAlignment="1" applyProtection="1">
      <alignment horizontal="left" vertical="center"/>
    </xf>
    <xf numFmtId="0" fontId="67" fillId="0" borderId="18" xfId="0" applyFont="1" applyBorder="1" applyAlignment="1" applyProtection="1">
      <alignment horizontal="left" vertical="center"/>
    </xf>
    <xf numFmtId="0" fontId="67" fillId="0" borderId="82" xfId="0" applyFont="1" applyBorder="1" applyAlignment="1" applyProtection="1">
      <alignment horizontal="left" vertical="center"/>
    </xf>
    <xf numFmtId="0" fontId="67" fillId="0" borderId="12" xfId="0" applyFont="1" applyBorder="1" applyAlignment="1" applyProtection="1">
      <alignment horizontal="left" vertical="center"/>
    </xf>
    <xf numFmtId="0" fontId="67" fillId="0" borderId="19" xfId="0" applyFont="1" applyBorder="1" applyAlignment="1" applyProtection="1">
      <alignment horizontal="left" vertical="center"/>
    </xf>
    <xf numFmtId="0" fontId="5" fillId="0" borderId="82" xfId="0" applyFont="1" applyBorder="1" applyAlignment="1" applyProtection="1">
      <alignment horizontal="left" vertical="top" wrapText="1"/>
    </xf>
    <xf numFmtId="0" fontId="5" fillId="0" borderId="12" xfId="0" applyFont="1" applyBorder="1" applyAlignment="1" applyProtection="1">
      <alignment horizontal="left" vertical="top" wrapText="1"/>
    </xf>
    <xf numFmtId="0" fontId="5" fillId="0" borderId="12" xfId="0" applyFont="1" applyBorder="1" applyAlignment="1" applyProtection="1">
      <alignment horizontal="center" vertical="center"/>
    </xf>
    <xf numFmtId="0" fontId="25" fillId="2" borderId="21" xfId="0" applyFont="1" applyFill="1" applyBorder="1" applyAlignment="1" applyProtection="1">
      <alignment horizontal="center" vertical="center" wrapText="1"/>
      <protection locked="0"/>
    </xf>
    <xf numFmtId="0" fontId="25" fillId="2" borderId="82" xfId="0" applyFont="1" applyFill="1" applyBorder="1" applyAlignment="1" applyProtection="1">
      <alignment horizontal="left" vertical="center" wrapText="1"/>
      <protection locked="0"/>
    </xf>
    <xf numFmtId="0" fontId="25" fillId="2" borderId="12" xfId="0" applyFont="1" applyFill="1" applyBorder="1" applyAlignment="1" applyProtection="1">
      <alignment horizontal="left" vertical="center" wrapText="1"/>
      <protection locked="0"/>
    </xf>
    <xf numFmtId="0" fontId="25" fillId="2" borderId="83" xfId="0" applyFont="1" applyFill="1" applyBorder="1" applyAlignment="1" applyProtection="1">
      <alignment horizontal="left" vertical="center" wrapText="1"/>
      <protection locked="0"/>
    </xf>
    <xf numFmtId="0" fontId="25" fillId="2" borderId="20" xfId="0" applyFont="1" applyFill="1" applyBorder="1" applyAlignment="1" applyProtection="1">
      <alignment horizontal="left" vertical="center" wrapText="1"/>
      <protection locked="0"/>
    </xf>
    <xf numFmtId="0" fontId="8" fillId="0" borderId="82" xfId="0" applyFont="1" applyBorder="1" applyAlignment="1" applyProtection="1">
      <alignment horizontal="left" vertical="top" wrapText="1"/>
      <protection locked="0"/>
    </xf>
    <xf numFmtId="0" fontId="8" fillId="0" borderId="12" xfId="0" applyFont="1" applyBorder="1" applyAlignment="1" applyProtection="1">
      <alignment horizontal="left" vertical="top" wrapText="1"/>
      <protection locked="0"/>
    </xf>
    <xf numFmtId="0" fontId="8" fillId="0" borderId="83" xfId="0" applyFont="1" applyBorder="1" applyAlignment="1" applyProtection="1">
      <alignment horizontal="left" vertical="top" wrapText="1"/>
      <protection locked="0"/>
    </xf>
    <xf numFmtId="0" fontId="8" fillId="0" borderId="20" xfId="0" applyFont="1" applyBorder="1" applyAlignment="1" applyProtection="1">
      <alignment horizontal="left" vertical="top" wrapText="1"/>
      <protection locked="0"/>
    </xf>
    <xf numFmtId="0" fontId="8" fillId="0" borderId="12" xfId="0" applyFont="1" applyBorder="1" applyAlignment="1" applyProtection="1">
      <alignment horizontal="center" vertical="top" wrapText="1"/>
      <protection locked="0"/>
    </xf>
    <xf numFmtId="0" fontId="8" fillId="0" borderId="20" xfId="0" applyFont="1" applyBorder="1" applyAlignment="1" applyProtection="1">
      <alignment horizontal="center" vertical="top" wrapText="1"/>
      <protection locked="0"/>
    </xf>
    <xf numFmtId="0" fontId="8" fillId="0" borderId="19" xfId="0" applyFont="1" applyBorder="1" applyAlignment="1" applyProtection="1">
      <alignment horizontal="center" vertical="top" wrapText="1"/>
      <protection locked="0"/>
    </xf>
    <xf numFmtId="0" fontId="8" fillId="0" borderId="21" xfId="0" applyFont="1" applyBorder="1" applyAlignment="1" applyProtection="1">
      <alignment horizontal="center" vertical="top" wrapText="1"/>
      <protection locked="0"/>
    </xf>
    <xf numFmtId="0" fontId="5" fillId="0" borderId="37" xfId="0" applyFont="1" applyBorder="1" applyAlignment="1" applyProtection="1">
      <alignment horizontal="center"/>
    </xf>
    <xf numFmtId="0" fontId="25" fillId="0" borderId="6" xfId="0" applyFont="1" applyFill="1" applyBorder="1" applyAlignment="1" applyProtection="1">
      <alignment horizontal="center" vertical="center" wrapText="1"/>
    </xf>
    <xf numFmtId="0" fontId="68" fillId="0" borderId="1" xfId="0" applyFont="1" applyBorder="1" applyAlignment="1" applyProtection="1">
      <alignment horizontal="center" vertical="center"/>
    </xf>
    <xf numFmtId="0" fontId="68" fillId="0" borderId="6" xfId="0" applyFont="1" applyBorder="1" applyAlignment="1" applyProtection="1">
      <alignment horizontal="center" vertical="center"/>
    </xf>
    <xf numFmtId="0" fontId="68" fillId="0" borderId="2" xfId="0" applyFont="1" applyBorder="1" applyAlignment="1" applyProtection="1">
      <alignment horizontal="center" vertical="center"/>
    </xf>
    <xf numFmtId="0" fontId="68" fillId="0" borderId="3" xfId="0" applyFont="1" applyBorder="1" applyAlignment="1" applyProtection="1">
      <alignment horizontal="center" vertical="center"/>
    </xf>
    <xf numFmtId="0" fontId="68" fillId="0" borderId="7" xfId="0" applyFont="1" applyBorder="1" applyAlignment="1" applyProtection="1">
      <alignment horizontal="center" vertical="center"/>
    </xf>
    <xf numFmtId="0" fontId="68" fillId="0" borderId="4" xfId="0" applyFont="1" applyBorder="1" applyAlignment="1" applyProtection="1">
      <alignment horizontal="center" vertical="center"/>
    </xf>
    <xf numFmtId="0" fontId="5" fillId="0" borderId="1" xfId="0" applyFont="1" applyBorder="1" applyAlignment="1" applyProtection="1">
      <alignment horizontal="left"/>
    </xf>
    <xf numFmtId="0" fontId="5" fillId="0" borderId="6" xfId="0" applyFont="1" applyBorder="1" applyAlignment="1" applyProtection="1">
      <alignment horizontal="left"/>
    </xf>
    <xf numFmtId="0" fontId="5" fillId="0" borderId="2" xfId="0" applyFont="1" applyBorder="1" applyAlignment="1" applyProtection="1">
      <alignment horizontal="left"/>
    </xf>
    <xf numFmtId="0" fontId="66" fillId="0" borderId="1" xfId="0" applyFont="1" applyBorder="1" applyAlignment="1" applyProtection="1">
      <alignment horizontal="center" vertical="center" wrapText="1"/>
    </xf>
    <xf numFmtId="0" fontId="66" fillId="0" borderId="2" xfId="0" applyFont="1" applyBorder="1" applyAlignment="1" applyProtection="1">
      <alignment horizontal="center" vertical="center" wrapText="1"/>
    </xf>
    <xf numFmtId="0" fontId="66" fillId="0" borderId="8" xfId="0" applyFont="1" applyBorder="1" applyAlignment="1" applyProtection="1">
      <alignment horizontal="center" vertical="center" wrapText="1"/>
    </xf>
    <xf numFmtId="0" fontId="66" fillId="0" borderId="9" xfId="0" applyFont="1" applyBorder="1" applyAlignment="1" applyProtection="1">
      <alignment horizontal="center" vertical="center" wrapText="1"/>
    </xf>
    <xf numFmtId="0" fontId="9" fillId="0" borderId="8" xfId="0" applyFont="1" applyBorder="1" applyAlignment="1" applyProtection="1">
      <alignment horizontal="center" vertical="top" wrapText="1"/>
    </xf>
    <xf numFmtId="0" fontId="9" fillId="0" borderId="0" xfId="0" applyFont="1" applyBorder="1" applyAlignment="1" applyProtection="1">
      <alignment horizontal="center" vertical="top" wrapText="1"/>
    </xf>
    <xf numFmtId="0" fontId="9" fillId="0" borderId="9" xfId="0" applyFont="1" applyBorder="1" applyAlignment="1" applyProtection="1">
      <alignment horizontal="center" vertical="top" wrapText="1"/>
    </xf>
    <xf numFmtId="0" fontId="9" fillId="0" borderId="3" xfId="0" applyFont="1" applyBorder="1" applyAlignment="1" applyProtection="1">
      <alignment horizontal="center" vertical="top" wrapText="1"/>
    </xf>
    <xf numFmtId="0" fontId="9" fillId="0" borderId="7" xfId="0" applyFont="1" applyBorder="1" applyAlignment="1" applyProtection="1">
      <alignment horizontal="center" vertical="top" wrapText="1"/>
    </xf>
    <xf numFmtId="0" fontId="9" fillId="0" borderId="4" xfId="0" applyFont="1" applyBorder="1" applyAlignment="1" applyProtection="1">
      <alignment horizontal="center" vertical="top" wrapText="1"/>
    </xf>
    <xf numFmtId="0" fontId="69" fillId="0" borderId="1" xfId="0" applyFont="1" applyBorder="1" applyAlignment="1" applyProtection="1">
      <alignment horizontal="left" vertical="center"/>
    </xf>
    <xf numFmtId="0" fontId="69" fillId="0" borderId="6" xfId="0" applyFont="1" applyBorder="1" applyAlignment="1" applyProtection="1">
      <alignment horizontal="left" vertical="center"/>
    </xf>
    <xf numFmtId="0" fontId="69" fillId="0" borderId="2" xfId="0" applyFont="1" applyBorder="1" applyAlignment="1" applyProtection="1">
      <alignment horizontal="left" vertical="center"/>
    </xf>
    <xf numFmtId="0" fontId="69" fillId="0" borderId="8" xfId="0" applyFont="1" applyBorder="1" applyAlignment="1" applyProtection="1">
      <alignment horizontal="left" vertical="center"/>
    </xf>
    <xf numFmtId="0" fontId="69" fillId="0" borderId="0" xfId="0" applyFont="1" applyBorder="1" applyAlignment="1" applyProtection="1">
      <alignment horizontal="left" vertical="center"/>
    </xf>
    <xf numFmtId="0" fontId="69" fillId="0" borderId="9" xfId="0" applyFont="1" applyBorder="1" applyAlignment="1" applyProtection="1">
      <alignment horizontal="left" vertical="center"/>
    </xf>
    <xf numFmtId="0" fontId="25" fillId="2" borderId="32" xfId="0" applyFont="1" applyFill="1" applyBorder="1" applyAlignment="1" applyProtection="1">
      <alignment horizontal="left" vertical="center" wrapText="1"/>
      <protection locked="0"/>
    </xf>
    <xf numFmtId="0" fontId="25" fillId="2" borderId="16" xfId="0" applyFont="1" applyFill="1" applyBorder="1" applyAlignment="1" applyProtection="1">
      <alignment horizontal="left" vertical="center" wrapText="1"/>
      <protection locked="0"/>
    </xf>
    <xf numFmtId="0" fontId="25" fillId="2" borderId="56" xfId="0" applyFont="1" applyFill="1" applyBorder="1" applyAlignment="1" applyProtection="1">
      <alignment horizontal="left" vertical="center" wrapText="1"/>
      <protection locked="0"/>
    </xf>
    <xf numFmtId="0" fontId="25" fillId="2" borderId="62" xfId="0" applyFont="1" applyFill="1" applyBorder="1" applyAlignment="1" applyProtection="1">
      <alignment horizontal="left" vertical="center" wrapText="1"/>
      <protection locked="0"/>
    </xf>
    <xf numFmtId="0" fontId="25" fillId="2" borderId="30" xfId="0" applyFont="1" applyFill="1" applyBorder="1" applyAlignment="1" applyProtection="1">
      <alignment horizontal="left" vertical="center" wrapText="1"/>
      <protection locked="0"/>
    </xf>
    <xf numFmtId="0" fontId="5" fillId="0" borderId="19" xfId="0" applyFont="1" applyBorder="1" applyAlignment="1" applyProtection="1">
      <alignment horizontal="left" vertical="top"/>
    </xf>
    <xf numFmtId="0" fontId="8" fillId="0" borderId="82" xfId="0" applyFont="1" applyBorder="1" applyAlignment="1" applyProtection="1">
      <alignment horizontal="left" vertical="center"/>
    </xf>
    <xf numFmtId="0" fontId="8" fillId="0" borderId="12" xfId="0" applyFont="1" applyBorder="1" applyAlignment="1" applyProtection="1">
      <alignment horizontal="left" vertical="center"/>
    </xf>
    <xf numFmtId="0" fontId="25" fillId="2" borderId="19" xfId="0" applyFont="1" applyFill="1" applyBorder="1" applyAlignment="1" applyProtection="1">
      <alignment horizontal="left" vertical="center" wrapText="1"/>
      <protection locked="0"/>
    </xf>
    <xf numFmtId="0" fontId="5" fillId="0" borderId="82" xfId="0" applyFont="1" applyBorder="1" applyAlignment="1" applyProtection="1">
      <alignment horizontal="left" vertical="center"/>
    </xf>
    <xf numFmtId="0" fontId="5" fillId="0" borderId="12" xfId="0" applyFont="1" applyBorder="1" applyAlignment="1" applyProtection="1">
      <alignment horizontal="left" vertical="center"/>
    </xf>
    <xf numFmtId="0" fontId="8" fillId="0" borderId="83" xfId="0" applyFont="1" applyBorder="1" applyAlignment="1" applyProtection="1">
      <alignment horizontal="left" vertical="center"/>
    </xf>
    <xf numFmtId="0" fontId="8" fillId="0" borderId="20" xfId="0" applyFont="1" applyBorder="1" applyAlignment="1" applyProtection="1">
      <alignment horizontal="left" vertical="center"/>
    </xf>
    <xf numFmtId="0" fontId="25" fillId="2" borderId="21" xfId="0" applyFont="1" applyFill="1" applyBorder="1" applyAlignment="1" applyProtection="1">
      <alignment horizontal="left" vertical="center" wrapText="1"/>
      <protection locked="0"/>
    </xf>
    <xf numFmtId="0" fontId="5" fillId="0" borderId="39" xfId="0" applyFont="1" applyBorder="1" applyAlignment="1" applyProtection="1">
      <alignment horizontal="left"/>
    </xf>
    <xf numFmtId="0" fontId="5" fillId="0" borderId="59" xfId="0" applyFont="1" applyBorder="1" applyAlignment="1" applyProtection="1">
      <alignment horizontal="left"/>
    </xf>
    <xf numFmtId="0" fontId="66" fillId="0" borderId="17" xfId="0" applyFont="1" applyBorder="1" applyAlignment="1" applyProtection="1">
      <alignment horizontal="center" vertical="center" wrapText="1"/>
    </xf>
    <xf numFmtId="0" fontId="66" fillId="0" borderId="18" xfId="0" applyFont="1" applyBorder="1" applyAlignment="1" applyProtection="1">
      <alignment horizontal="center" vertical="center" wrapText="1"/>
    </xf>
    <xf numFmtId="0" fontId="66" fillId="0" borderId="12" xfId="0" applyFont="1" applyBorder="1" applyAlignment="1" applyProtection="1">
      <alignment horizontal="center" vertical="center" wrapText="1"/>
    </xf>
    <xf numFmtId="0" fontId="66" fillId="0" borderId="19" xfId="0" applyFont="1" applyBorder="1" applyAlignment="1" applyProtection="1">
      <alignment horizontal="center" vertical="center" wrapText="1"/>
    </xf>
    <xf numFmtId="0" fontId="66" fillId="0" borderId="109" xfId="0" applyFont="1" applyBorder="1" applyAlignment="1" applyProtection="1">
      <alignment horizontal="center" vertical="center" wrapText="1"/>
    </xf>
    <xf numFmtId="0" fontId="66" fillId="0" borderId="114" xfId="0" applyFont="1" applyBorder="1" applyAlignment="1" applyProtection="1">
      <alignment horizontal="center" vertical="center" wrapText="1"/>
    </xf>
    <xf numFmtId="0" fontId="9" fillId="0" borderId="110" xfId="0" applyFont="1" applyBorder="1" applyAlignment="1" applyProtection="1">
      <alignment horizontal="center" vertical="top" wrapText="1"/>
    </xf>
    <xf numFmtId="0" fontId="9" fillId="0" borderId="113" xfId="0" applyFont="1" applyBorder="1" applyAlignment="1" applyProtection="1">
      <alignment horizontal="center" vertical="top" wrapText="1"/>
    </xf>
    <xf numFmtId="0" fontId="9" fillId="0" borderId="12" xfId="0" applyFont="1" applyBorder="1" applyAlignment="1" applyProtection="1">
      <alignment horizontal="center" vertical="top" wrapText="1"/>
    </xf>
    <xf numFmtId="0" fontId="9" fillId="0" borderId="19" xfId="0" applyFont="1" applyBorder="1" applyAlignment="1" applyProtection="1">
      <alignment horizontal="center" vertical="top" wrapText="1"/>
    </xf>
    <xf numFmtId="0" fontId="9" fillId="0" borderId="20" xfId="0" applyFont="1" applyBorder="1" applyAlignment="1" applyProtection="1">
      <alignment horizontal="center" vertical="top" wrapText="1"/>
    </xf>
    <xf numFmtId="0" fontId="9" fillId="0" borderId="21" xfId="0" applyFont="1" applyBorder="1" applyAlignment="1" applyProtection="1">
      <alignment horizontal="center" vertical="top" wrapText="1"/>
    </xf>
    <xf numFmtId="0" fontId="67" fillId="0" borderId="111" xfId="0" applyFont="1" applyBorder="1" applyAlignment="1" applyProtection="1">
      <alignment horizontal="left" vertical="center"/>
    </xf>
    <xf numFmtId="0" fontId="67" fillId="0" borderId="109" xfId="0" applyFont="1" applyBorder="1" applyAlignment="1" applyProtection="1">
      <alignment horizontal="left" vertical="center"/>
    </xf>
    <xf numFmtId="0" fontId="67" fillId="0" borderId="114" xfId="0" applyFont="1" applyBorder="1" applyAlignment="1" applyProtection="1">
      <alignment horizontal="left" vertical="center"/>
    </xf>
    <xf numFmtId="0" fontId="67" fillId="0" borderId="112" xfId="0" applyFont="1" applyBorder="1" applyAlignment="1" applyProtection="1">
      <alignment horizontal="left" vertical="center"/>
    </xf>
    <xf numFmtId="0" fontId="67" fillId="0" borderId="110" xfId="0" applyFont="1" applyBorder="1" applyAlignment="1" applyProtection="1">
      <alignment horizontal="left" vertical="center"/>
    </xf>
    <xf numFmtId="0" fontId="67" fillId="0" borderId="113" xfId="0" applyFont="1" applyBorder="1" applyAlignment="1" applyProtection="1">
      <alignment horizontal="left" vertical="center"/>
    </xf>
    <xf numFmtId="0" fontId="5" fillId="0" borderId="7" xfId="0" applyFont="1" applyBorder="1" applyAlignment="1" applyProtection="1">
      <alignment horizontal="center"/>
    </xf>
    <xf numFmtId="0" fontId="67" fillId="0" borderId="11" xfId="0" applyFont="1" applyBorder="1" applyAlignment="1" applyProtection="1">
      <alignment horizontal="center" vertical="center"/>
    </xf>
    <xf numFmtId="0" fontId="0" fillId="0" borderId="11" xfId="0" applyBorder="1" applyAlignment="1" applyProtection="1">
      <alignment horizontal="center"/>
    </xf>
    <xf numFmtId="0" fontId="15" fillId="2" borderId="22" xfId="0" applyFont="1" applyFill="1" applyBorder="1" applyAlignment="1" applyProtection="1">
      <alignment horizontal="center"/>
      <protection locked="0"/>
    </xf>
    <xf numFmtId="0" fontId="15" fillId="2" borderId="23" xfId="0" applyFont="1" applyFill="1" applyBorder="1" applyAlignment="1" applyProtection="1">
      <alignment horizontal="center"/>
      <protection locked="0"/>
    </xf>
    <xf numFmtId="0" fontId="15" fillId="2" borderId="29" xfId="0" applyFont="1" applyFill="1" applyBorder="1" applyAlignment="1" applyProtection="1">
      <alignment horizontal="center"/>
      <protection locked="0"/>
    </xf>
    <xf numFmtId="0" fontId="15" fillId="2" borderId="28" xfId="0" applyFont="1" applyFill="1" applyBorder="1" applyAlignment="1" applyProtection="1">
      <alignment horizontal="center"/>
      <protection locked="0"/>
    </xf>
    <xf numFmtId="0" fontId="15" fillId="2" borderId="24" xfId="0" applyFont="1" applyFill="1" applyBorder="1" applyAlignment="1" applyProtection="1">
      <alignment horizontal="center"/>
      <protection locked="0"/>
    </xf>
    <xf numFmtId="0" fontId="15" fillId="2" borderId="64" xfId="0" applyFont="1" applyFill="1" applyBorder="1" applyAlignment="1" applyProtection="1">
      <alignment horizontal="center"/>
      <protection locked="0"/>
    </xf>
    <xf numFmtId="0" fontId="15" fillId="2" borderId="38" xfId="0" applyFont="1" applyFill="1" applyBorder="1" applyAlignment="1" applyProtection="1">
      <alignment horizontal="center"/>
      <protection locked="0"/>
    </xf>
    <xf numFmtId="0" fontId="15" fillId="2" borderId="37" xfId="0" applyFont="1" applyFill="1" applyBorder="1" applyAlignment="1" applyProtection="1">
      <alignment horizontal="center"/>
      <protection locked="0"/>
    </xf>
    <xf numFmtId="0" fontId="15" fillId="2" borderId="49" xfId="0" applyFont="1" applyFill="1" applyBorder="1" applyAlignment="1" applyProtection="1">
      <alignment horizontal="center"/>
      <protection locked="0"/>
    </xf>
    <xf numFmtId="0" fontId="15" fillId="2" borderId="46" xfId="0" applyFont="1" applyFill="1" applyBorder="1" applyAlignment="1" applyProtection="1">
      <alignment horizontal="center"/>
      <protection locked="0"/>
    </xf>
    <xf numFmtId="0" fontId="27" fillId="0" borderId="6" xfId="0" applyFont="1" applyBorder="1" applyAlignment="1">
      <alignment horizontal="center" vertical="top" wrapText="1"/>
    </xf>
    <xf numFmtId="0" fontId="27" fillId="0" borderId="2" xfId="0" applyFont="1" applyBorder="1" applyAlignment="1">
      <alignment horizontal="center" vertical="top" wrapText="1"/>
    </xf>
    <xf numFmtId="0" fontId="27" fillId="0" borderId="0" xfId="0" applyFont="1" applyBorder="1" applyAlignment="1">
      <alignment horizontal="center" vertical="top" wrapText="1"/>
    </xf>
    <xf numFmtId="0" fontId="27" fillId="0" borderId="9" xfId="0" applyFont="1" applyBorder="1" applyAlignment="1">
      <alignment horizontal="center" vertical="top" wrapText="1"/>
    </xf>
    <xf numFmtId="0" fontId="27" fillId="0" borderId="13" xfId="0" applyFont="1" applyBorder="1" applyAlignment="1">
      <alignment horizontal="center" vertical="top" wrapText="1"/>
    </xf>
    <xf numFmtId="0" fontId="27" fillId="0" borderId="48" xfId="0" applyFont="1" applyBorder="1" applyAlignment="1">
      <alignment horizontal="center" vertical="top" wrapText="1"/>
    </xf>
    <xf numFmtId="0" fontId="27" fillId="0" borderId="26" xfId="0" applyFont="1" applyBorder="1" applyAlignment="1">
      <alignment horizontal="center" vertical="top" wrapText="1"/>
    </xf>
    <xf numFmtId="0" fontId="27" fillId="0" borderId="27" xfId="0" applyFont="1" applyBorder="1" applyAlignment="1">
      <alignment horizontal="center" vertical="top" wrapText="1"/>
    </xf>
    <xf numFmtId="0" fontId="27" fillId="0" borderId="62" xfId="0" applyFont="1" applyBorder="1" applyAlignment="1">
      <alignment horizontal="center" vertical="top" wrapText="1"/>
    </xf>
    <xf numFmtId="0" fontId="27" fillId="0" borderId="63" xfId="0" applyFont="1" applyBorder="1" applyAlignment="1">
      <alignment horizontal="center" vertical="top" wrapText="1"/>
    </xf>
    <xf numFmtId="0" fontId="15" fillId="0" borderId="62" xfId="0" applyFont="1" applyBorder="1" applyAlignment="1">
      <alignment horizontal="center" vertical="top" wrapText="1"/>
    </xf>
    <xf numFmtId="0" fontId="15" fillId="0" borderId="0" xfId="0" applyFont="1" applyBorder="1" applyAlignment="1">
      <alignment horizontal="center" vertical="top" wrapText="1"/>
    </xf>
    <xf numFmtId="0" fontId="15" fillId="0" borderId="63" xfId="0" applyFont="1" applyBorder="1" applyAlignment="1">
      <alignment horizontal="center" vertical="top" wrapText="1"/>
    </xf>
    <xf numFmtId="0" fontId="27" fillId="0" borderId="1" xfId="0" applyFont="1" applyBorder="1" applyAlignment="1">
      <alignment horizontal="center" vertical="top"/>
    </xf>
    <xf numFmtId="0" fontId="27" fillId="0" borderId="6" xfId="0" applyFont="1" applyBorder="1" applyAlignment="1">
      <alignment horizontal="center" vertical="top"/>
    </xf>
    <xf numFmtId="0" fontId="27" fillId="0" borderId="27" xfId="0" applyFont="1" applyBorder="1" applyAlignment="1">
      <alignment horizontal="center" vertical="top"/>
    </xf>
    <xf numFmtId="0" fontId="27" fillId="0" borderId="26" xfId="0" applyFont="1" applyBorder="1" applyAlignment="1">
      <alignment horizontal="center" vertical="top"/>
    </xf>
    <xf numFmtId="0" fontId="27" fillId="0" borderId="67" xfId="0" applyFont="1" applyBorder="1" applyAlignment="1">
      <alignment horizontal="center" vertical="top" wrapText="1"/>
    </xf>
    <xf numFmtId="0" fontId="27" fillId="0" borderId="15" xfId="0" applyFont="1" applyBorder="1" applyAlignment="1">
      <alignment horizontal="center" vertical="top" wrapText="1"/>
    </xf>
    <xf numFmtId="169" fontId="53" fillId="0" borderId="62" xfId="0" applyNumberFormat="1" applyFont="1" applyBorder="1" applyAlignment="1" applyProtection="1">
      <alignment horizontal="left" wrapText="1"/>
    </xf>
    <xf numFmtId="169" fontId="53" fillId="0" borderId="0" xfId="0" applyNumberFormat="1" applyFont="1" applyBorder="1" applyAlignment="1" applyProtection="1">
      <alignment horizontal="left" wrapText="1"/>
    </xf>
    <xf numFmtId="0" fontId="15" fillId="0" borderId="0" xfId="0" applyFont="1" applyBorder="1" applyAlignment="1" applyProtection="1">
      <alignment horizontal="left"/>
    </xf>
    <xf numFmtId="0" fontId="53" fillId="0" borderId="0" xfId="0" applyFont="1" applyBorder="1" applyAlignment="1" applyProtection="1">
      <alignment horizontal="left"/>
    </xf>
    <xf numFmtId="1" fontId="54" fillId="0" borderId="87" xfId="0" applyNumberFormat="1" applyFont="1" applyFill="1" applyBorder="1" applyAlignment="1" applyProtection="1">
      <alignment horizontal="center"/>
    </xf>
    <xf numFmtId="1" fontId="54" fillId="8" borderId="28" xfId="0" applyNumberFormat="1" applyFont="1" applyFill="1" applyBorder="1" applyAlignment="1" applyProtection="1">
      <alignment horizontal="center"/>
      <protection locked="0"/>
    </xf>
    <xf numFmtId="1" fontId="54" fillId="8" borderId="23" xfId="0" applyNumberFormat="1" applyFont="1" applyFill="1" applyBorder="1" applyAlignment="1" applyProtection="1">
      <alignment horizontal="center"/>
      <protection locked="0"/>
    </xf>
    <xf numFmtId="1" fontId="54" fillId="8" borderId="29" xfId="0" applyNumberFormat="1" applyFont="1" applyFill="1" applyBorder="1" applyAlignment="1" applyProtection="1">
      <alignment horizontal="center"/>
      <protection locked="0"/>
    </xf>
    <xf numFmtId="166" fontId="54" fillId="0" borderId="16" xfId="0" applyNumberFormat="1" applyFont="1" applyBorder="1" applyAlignment="1" applyProtection="1">
      <alignment horizontal="left" wrapText="1"/>
    </xf>
    <xf numFmtId="0" fontId="54" fillId="0" borderId="0" xfId="0" applyFont="1" applyBorder="1" applyAlignment="1" applyProtection="1">
      <alignment horizontal="left"/>
    </xf>
    <xf numFmtId="168" fontId="54" fillId="0" borderId="88" xfId="0" applyNumberFormat="1" applyFont="1" applyFill="1" applyBorder="1" applyAlignment="1" applyProtection="1">
      <alignment horizontal="center"/>
    </xf>
    <xf numFmtId="0" fontId="54" fillId="8" borderId="28" xfId="0" applyFont="1" applyFill="1" applyBorder="1" applyAlignment="1" applyProtection="1">
      <alignment horizontal="center" wrapText="1"/>
      <protection locked="0"/>
    </xf>
    <xf numFmtId="0" fontId="54" fillId="8" borderId="23" xfId="0" applyFont="1" applyFill="1" applyBorder="1" applyAlignment="1" applyProtection="1">
      <alignment horizontal="center" wrapText="1"/>
      <protection locked="0"/>
    </xf>
    <xf numFmtId="0" fontId="54" fillId="8" borderId="29" xfId="0" applyFont="1" applyFill="1" applyBorder="1" applyAlignment="1" applyProtection="1">
      <alignment horizontal="center" wrapText="1"/>
      <protection locked="0"/>
    </xf>
    <xf numFmtId="0" fontId="51" fillId="0" borderId="16" xfId="0" applyFont="1" applyBorder="1" applyAlignment="1" applyProtection="1">
      <alignment horizontal="center" vertical="center"/>
    </xf>
    <xf numFmtId="0" fontId="54" fillId="0" borderId="88" xfId="0" applyFont="1" applyFill="1" applyBorder="1" applyAlignment="1" applyProtection="1">
      <alignment horizontal="center" wrapText="1"/>
    </xf>
    <xf numFmtId="0" fontId="52" fillId="0" borderId="89" xfId="0" applyFont="1" applyBorder="1" applyAlignment="1" applyProtection="1">
      <alignment horizontal="center" vertical="center" wrapText="1"/>
    </xf>
    <xf numFmtId="0" fontId="54" fillId="0" borderId="0" xfId="0" applyFont="1" applyBorder="1" applyAlignment="1" applyProtection="1">
      <alignment horizontal="right"/>
    </xf>
    <xf numFmtId="0" fontId="54" fillId="0" borderId="63" xfId="0" applyFont="1" applyBorder="1" applyAlignment="1" applyProtection="1">
      <alignment horizontal="right"/>
    </xf>
    <xf numFmtId="0" fontId="54" fillId="0" borderId="0" xfId="0" applyFont="1" applyBorder="1" applyAlignment="1" applyProtection="1">
      <alignment horizontal="right" vertical="top" wrapText="1"/>
    </xf>
    <xf numFmtId="0" fontId="39" fillId="0" borderId="62" xfId="0" applyFont="1" applyBorder="1" applyAlignment="1" applyProtection="1">
      <alignment horizontal="center"/>
    </xf>
    <xf numFmtId="0" fontId="39" fillId="0" borderId="0" xfId="0" applyFont="1" applyBorder="1" applyAlignment="1" applyProtection="1">
      <alignment horizontal="center"/>
    </xf>
    <xf numFmtId="165" fontId="54" fillId="0" borderId="0" xfId="0" applyNumberFormat="1" applyFont="1" applyBorder="1" applyAlignment="1" applyProtection="1">
      <alignment horizontal="left" vertical="center"/>
    </xf>
    <xf numFmtId="0" fontId="54" fillId="0" borderId="0" xfId="0" applyFont="1" applyFill="1" applyBorder="1" applyAlignment="1" applyProtection="1">
      <alignment horizontal="left" vertical="center"/>
    </xf>
    <xf numFmtId="169" fontId="54" fillId="0" borderId="88" xfId="0" applyNumberFormat="1" applyFont="1" applyBorder="1" applyAlignment="1" applyProtection="1">
      <alignment horizontal="center" wrapText="1"/>
    </xf>
    <xf numFmtId="0" fontId="54" fillId="0" borderId="0" xfId="0" applyFont="1" applyBorder="1" applyAlignment="1" applyProtection="1">
      <alignment horizontal="center"/>
    </xf>
    <xf numFmtId="2" fontId="54" fillId="0" borderId="88" xfId="0" quotePrefix="1" applyNumberFormat="1" applyFont="1" applyBorder="1" applyAlignment="1" applyProtection="1">
      <alignment horizontal="center"/>
    </xf>
    <xf numFmtId="169" fontId="54" fillId="0" borderId="88" xfId="0" quotePrefix="1" applyNumberFormat="1" applyFont="1" applyFill="1" applyBorder="1" applyAlignment="1" applyProtection="1">
      <alignment horizontal="center"/>
    </xf>
    <xf numFmtId="0" fontId="54" fillId="0" borderId="0" xfId="0" applyFont="1" applyBorder="1" applyAlignment="1" applyProtection="1">
      <alignment vertical="center" wrapText="1"/>
    </xf>
    <xf numFmtId="169" fontId="54" fillId="8" borderId="28" xfId="0" applyNumberFormat="1" applyFont="1" applyFill="1" applyBorder="1" applyAlignment="1" applyProtection="1">
      <alignment horizontal="center"/>
      <protection locked="0"/>
    </xf>
    <xf numFmtId="169" fontId="54" fillId="8" borderId="23" xfId="0" applyNumberFormat="1" applyFont="1" applyFill="1" applyBorder="1" applyAlignment="1" applyProtection="1">
      <alignment horizontal="center"/>
      <protection locked="0"/>
    </xf>
    <xf numFmtId="169" fontId="54" fillId="8" borderId="29" xfId="0" applyNumberFormat="1" applyFont="1" applyFill="1" applyBorder="1" applyAlignment="1" applyProtection="1">
      <alignment horizontal="center"/>
      <protection locked="0"/>
    </xf>
    <xf numFmtId="0" fontId="54" fillId="0" borderId="0" xfId="0" applyFont="1" applyBorder="1" applyAlignment="1" applyProtection="1">
      <alignment horizontal="left" vertical="center" wrapText="1"/>
    </xf>
    <xf numFmtId="0" fontId="54" fillId="8" borderId="28" xfId="0" applyFont="1" applyFill="1" applyBorder="1" applyAlignment="1" applyProtection="1">
      <alignment horizontal="center"/>
      <protection locked="0"/>
    </xf>
    <xf numFmtId="0" fontId="54" fillId="8" borderId="29" xfId="0" applyFont="1" applyFill="1" applyBorder="1" applyAlignment="1" applyProtection="1">
      <alignment horizontal="center"/>
      <protection locked="0"/>
    </xf>
    <xf numFmtId="0" fontId="54" fillId="0" borderId="63" xfId="0" applyFont="1" applyBorder="1" applyAlignment="1" applyProtection="1">
      <alignment vertical="center" wrapText="1"/>
    </xf>
    <xf numFmtId="1" fontId="54" fillId="8" borderId="28" xfId="0" applyNumberFormat="1" applyFont="1" applyFill="1" applyBorder="1" applyAlignment="1" applyProtection="1">
      <alignment horizontal="center" wrapText="1"/>
      <protection locked="0"/>
    </xf>
    <xf numFmtId="1" fontId="54" fillId="8" borderId="29" xfId="0" applyNumberFormat="1" applyFont="1" applyFill="1" applyBorder="1" applyAlignment="1" applyProtection="1">
      <alignment horizontal="center" wrapText="1"/>
      <protection locked="0"/>
    </xf>
    <xf numFmtId="0" fontId="54" fillId="0" borderId="0" xfId="0" applyFont="1" applyBorder="1" applyAlignment="1" applyProtection="1">
      <alignment horizontal="left" vertical="center"/>
    </xf>
    <xf numFmtId="0" fontId="54" fillId="0" borderId="63" xfId="0" applyFont="1" applyBorder="1" applyAlignment="1" applyProtection="1">
      <alignment horizontal="left" vertical="center"/>
    </xf>
    <xf numFmtId="0" fontId="34" fillId="0" borderId="62" xfId="0" applyFont="1" applyBorder="1" applyAlignment="1" applyProtection="1">
      <alignment horizontal="left"/>
    </xf>
    <xf numFmtId="0" fontId="34" fillId="0" borderId="0" xfId="0" applyFont="1" applyBorder="1" applyAlignment="1" applyProtection="1">
      <alignment horizontal="left"/>
    </xf>
    <xf numFmtId="0" fontId="54" fillId="0" borderId="0" xfId="0" applyFont="1" applyBorder="1" applyAlignment="1" applyProtection="1">
      <alignment horizontal="center" vertical="center"/>
    </xf>
    <xf numFmtId="171" fontId="54" fillId="9" borderId="28" xfId="0" quotePrefix="1" applyNumberFormat="1" applyFont="1" applyFill="1" applyBorder="1" applyAlignment="1" applyProtection="1">
      <alignment horizontal="center"/>
      <protection locked="0"/>
    </xf>
    <xf numFmtId="171" fontId="54" fillId="9" borderId="23" xfId="0" quotePrefix="1" applyNumberFormat="1" applyFont="1" applyFill="1" applyBorder="1" applyAlignment="1" applyProtection="1">
      <alignment horizontal="center"/>
      <protection locked="0"/>
    </xf>
    <xf numFmtId="171" fontId="54" fillId="9" borderId="29" xfId="0" quotePrefix="1" applyNumberFormat="1" applyFont="1" applyFill="1" applyBorder="1" applyAlignment="1" applyProtection="1">
      <alignment horizontal="center"/>
      <protection locked="0"/>
    </xf>
    <xf numFmtId="0" fontId="38" fillId="0" borderId="6" xfId="0" applyFont="1" applyFill="1" applyBorder="1" applyAlignment="1" applyProtection="1">
      <alignment horizontal="left" vertical="center"/>
    </xf>
    <xf numFmtId="166" fontId="53" fillId="0" borderId="0" xfId="0" applyNumberFormat="1" applyFont="1" applyBorder="1" applyAlignment="1" applyProtection="1">
      <alignment vertical="top" wrapText="1"/>
    </xf>
    <xf numFmtId="166" fontId="53" fillId="0" borderId="0" xfId="0" applyNumberFormat="1" applyFont="1" applyBorder="1" applyAlignment="1" applyProtection="1">
      <alignment vertical="center" wrapText="1"/>
    </xf>
    <xf numFmtId="166" fontId="53" fillId="0" borderId="13" xfId="0" applyNumberFormat="1" applyFont="1" applyBorder="1" applyAlignment="1" applyProtection="1">
      <alignment vertical="center" wrapText="1"/>
    </xf>
    <xf numFmtId="0" fontId="54" fillId="0" borderId="0" xfId="0" applyFont="1" applyBorder="1" applyAlignment="1" applyProtection="1"/>
    <xf numFmtId="3" fontId="54" fillId="8" borderId="28" xfId="0" applyNumberFormat="1" applyFont="1" applyFill="1" applyBorder="1" applyAlignment="1" applyProtection="1">
      <alignment horizontal="center"/>
      <protection locked="0"/>
    </xf>
    <xf numFmtId="3" fontId="54" fillId="8" borderId="23" xfId="0" applyNumberFormat="1" applyFont="1" applyFill="1" applyBorder="1" applyAlignment="1" applyProtection="1">
      <alignment horizontal="center"/>
      <protection locked="0"/>
    </xf>
    <xf numFmtId="3" fontId="54" fillId="8" borderId="29" xfId="0" applyNumberFormat="1" applyFont="1" applyFill="1" applyBorder="1" applyAlignment="1" applyProtection="1">
      <alignment horizontal="center"/>
      <protection locked="0"/>
    </xf>
    <xf numFmtId="0" fontId="26" fillId="0" borderId="0" xfId="0" applyFont="1" applyAlignment="1" applyProtection="1">
      <alignment horizontal="left" vertical="center"/>
    </xf>
    <xf numFmtId="0" fontId="50" fillId="7" borderId="10" xfId="0" applyFont="1" applyFill="1" applyBorder="1" applyAlignment="1" applyProtection="1">
      <alignment horizontal="center" vertical="center"/>
    </xf>
    <xf numFmtId="0" fontId="50" fillId="7" borderId="11" xfId="0" applyFont="1" applyFill="1" applyBorder="1" applyAlignment="1" applyProtection="1">
      <alignment horizontal="center" vertical="center"/>
    </xf>
    <xf numFmtId="0" fontId="50" fillId="7" borderId="5" xfId="0" applyFont="1" applyFill="1" applyBorder="1" applyAlignment="1" applyProtection="1">
      <alignment horizontal="center" vertical="center"/>
    </xf>
    <xf numFmtId="0" fontId="27" fillId="0" borderId="7" xfId="0" applyFont="1" applyBorder="1" applyAlignment="1" applyProtection="1">
      <alignment horizontal="left" vertical="center"/>
    </xf>
    <xf numFmtId="0" fontId="27" fillId="0" borderId="4" xfId="0" applyFont="1" applyBorder="1" applyAlignment="1" applyProtection="1">
      <alignment horizontal="left" vertical="center"/>
    </xf>
    <xf numFmtId="165" fontId="52" fillId="0" borderId="0" xfId="0" applyNumberFormat="1" applyFont="1" applyFill="1" applyBorder="1" applyAlignment="1" applyProtection="1">
      <alignment horizontal="center" vertical="center"/>
    </xf>
    <xf numFmtId="165" fontId="52" fillId="0" borderId="9" xfId="0" applyNumberFormat="1" applyFont="1" applyFill="1" applyBorder="1" applyAlignment="1" applyProtection="1">
      <alignment horizontal="center" vertical="center"/>
    </xf>
    <xf numFmtId="49" fontId="53" fillId="0" borderId="0" xfId="0" applyNumberFormat="1" applyFont="1" applyFill="1" applyBorder="1" applyAlignment="1" applyProtection="1">
      <alignment horizontal="center" vertical="center" wrapText="1"/>
    </xf>
    <xf numFmtId="49" fontId="53" fillId="0" borderId="9" xfId="0" applyNumberFormat="1" applyFont="1" applyFill="1" applyBorder="1" applyAlignment="1" applyProtection="1">
      <alignment horizontal="center" vertical="center" wrapText="1"/>
    </xf>
    <xf numFmtId="166" fontId="53" fillId="0" borderId="16" xfId="0" applyNumberFormat="1" applyFont="1" applyBorder="1" applyAlignment="1" applyProtection="1">
      <alignment vertical="top" wrapText="1"/>
    </xf>
    <xf numFmtId="166" fontId="53" fillId="0" borderId="13" xfId="0" applyNumberFormat="1" applyFont="1" applyBorder="1" applyAlignment="1" applyProtection="1">
      <alignment vertical="top" wrapText="1"/>
    </xf>
    <xf numFmtId="0" fontId="54" fillId="0" borderId="16" xfId="0" applyFont="1" applyBorder="1" applyAlignment="1" applyProtection="1">
      <alignment horizontal="left"/>
    </xf>
    <xf numFmtId="169" fontId="54" fillId="0" borderId="87" xfId="0" applyNumberFormat="1" applyFont="1" applyFill="1" applyBorder="1" applyAlignment="1" applyProtection="1">
      <alignment horizontal="center"/>
    </xf>
    <xf numFmtId="166" fontId="53" fillId="0" borderId="16" xfId="0" applyNumberFormat="1" applyFont="1" applyBorder="1" applyAlignment="1" applyProtection="1">
      <alignment vertical="center" wrapText="1"/>
    </xf>
    <xf numFmtId="169" fontId="54" fillId="0" borderId="87" xfId="30" applyNumberFormat="1" applyFont="1" applyFill="1" applyBorder="1" applyAlignment="1" applyProtection="1">
      <alignment horizontal="center"/>
    </xf>
    <xf numFmtId="166" fontId="23" fillId="0" borderId="16" xfId="0" applyNumberFormat="1" applyFont="1" applyBorder="1" applyAlignment="1" applyProtection="1">
      <alignment horizontal="left" vertical="center"/>
    </xf>
    <xf numFmtId="0" fontId="63" fillId="2" borderId="65" xfId="0" applyFont="1" applyFill="1" applyBorder="1" applyAlignment="1" applyProtection="1">
      <alignment horizontal="left" vertical="top" wrapText="1"/>
      <protection locked="0"/>
    </xf>
    <xf numFmtId="0" fontId="63" fillId="2" borderId="13" xfId="0" applyFont="1" applyFill="1" applyBorder="1" applyAlignment="1" applyProtection="1">
      <alignment horizontal="left" vertical="top" wrapText="1"/>
      <protection locked="0"/>
    </xf>
    <xf numFmtId="0" fontId="63" fillId="2" borderId="48" xfId="0" applyFont="1" applyFill="1" applyBorder="1" applyAlignment="1" applyProtection="1">
      <alignment horizontal="left" vertical="top" wrapText="1"/>
      <protection locked="0"/>
    </xf>
    <xf numFmtId="0" fontId="54" fillId="0" borderId="37" xfId="0" applyFont="1" applyBorder="1" applyAlignment="1" applyProtection="1">
      <alignment horizontal="left" vertical="center" wrapText="1"/>
    </xf>
    <xf numFmtId="0" fontId="54" fillId="0" borderId="49" xfId="0" applyFont="1" applyBorder="1" applyAlignment="1" applyProtection="1">
      <alignment horizontal="left" vertical="center" wrapText="1"/>
    </xf>
    <xf numFmtId="3" fontId="54" fillId="8" borderId="12" xfId="0" applyNumberFormat="1" applyFont="1" applyFill="1" applyBorder="1" applyAlignment="1" applyProtection="1">
      <alignment horizontal="center"/>
      <protection locked="0"/>
    </xf>
    <xf numFmtId="0" fontId="54" fillId="8" borderId="12" xfId="0" applyFont="1" applyFill="1" applyBorder="1" applyAlignment="1" applyProtection="1">
      <alignment horizontal="center"/>
      <protection locked="0"/>
    </xf>
    <xf numFmtId="1" fontId="54" fillId="8" borderId="12" xfId="0" applyNumberFormat="1" applyFont="1" applyFill="1" applyBorder="1" applyAlignment="1" applyProtection="1">
      <alignment horizontal="center"/>
      <protection locked="0"/>
    </xf>
    <xf numFmtId="1" fontId="54" fillId="8" borderId="12" xfId="0" applyNumberFormat="1" applyFont="1" applyFill="1" applyBorder="1" applyAlignment="1" applyProtection="1">
      <alignment horizontal="center" wrapText="1"/>
      <protection locked="0"/>
    </xf>
    <xf numFmtId="3" fontId="54" fillId="0" borderId="88" xfId="0" applyNumberFormat="1" applyFont="1" applyBorder="1" applyAlignment="1" applyProtection="1">
      <alignment horizontal="center"/>
    </xf>
    <xf numFmtId="3" fontId="54" fillId="0" borderId="90" xfId="0" applyNumberFormat="1" applyFont="1" applyBorder="1" applyAlignment="1" applyProtection="1">
      <alignment horizontal="center"/>
    </xf>
    <xf numFmtId="0" fontId="27" fillId="2" borderId="0" xfId="0" applyFont="1" applyFill="1" applyBorder="1" applyAlignment="1" applyProtection="1">
      <alignment horizontal="center" vertical="center"/>
      <protection locked="0"/>
    </xf>
    <xf numFmtId="0" fontId="33" fillId="0" borderId="0" xfId="0" applyFont="1" applyBorder="1" applyAlignment="1">
      <alignment horizontal="left"/>
    </xf>
    <xf numFmtId="0" fontId="33" fillId="0" borderId="9" xfId="0" applyFont="1" applyBorder="1" applyAlignment="1">
      <alignment horizontal="left"/>
    </xf>
    <xf numFmtId="0" fontId="46" fillId="0" borderId="0" xfId="0" applyFont="1" applyBorder="1" applyAlignment="1">
      <alignment horizontal="left"/>
    </xf>
    <xf numFmtId="0" fontId="3" fillId="0" borderId="16" xfId="0" applyFont="1" applyBorder="1" applyAlignment="1">
      <alignment horizontal="center"/>
    </xf>
    <xf numFmtId="0" fontId="5" fillId="2" borderId="0" xfId="0" applyFont="1" applyFill="1" applyBorder="1" applyAlignment="1" applyProtection="1">
      <alignment horizontal="center" vertical="center" wrapText="1"/>
      <protection locked="0"/>
    </xf>
    <xf numFmtId="0" fontId="5" fillId="2" borderId="13" xfId="0" applyFont="1" applyFill="1" applyBorder="1" applyAlignment="1" applyProtection="1">
      <alignment horizontal="center" vertical="center" wrapText="1"/>
      <protection locked="0"/>
    </xf>
    <xf numFmtId="0" fontId="60" fillId="0" borderId="0" xfId="0" applyFont="1" applyBorder="1" applyAlignment="1">
      <alignment horizontal="right"/>
    </xf>
    <xf numFmtId="0" fontId="60" fillId="0" borderId="9" xfId="0" applyFont="1" applyBorder="1" applyAlignment="1">
      <alignment horizontal="right"/>
    </xf>
    <xf numFmtId="0" fontId="0" fillId="0" borderId="0" xfId="0" applyBorder="1" applyAlignment="1">
      <alignment horizontal="right"/>
    </xf>
    <xf numFmtId="0" fontId="0" fillId="2" borderId="10" xfId="0" applyFill="1" applyBorder="1" applyProtection="1">
      <protection locked="0"/>
    </xf>
    <xf numFmtId="0" fontId="0" fillId="2" borderId="11" xfId="0" applyFill="1" applyBorder="1" applyProtection="1">
      <protection locked="0"/>
    </xf>
    <xf numFmtId="0" fontId="0" fillId="2" borderId="5" xfId="0" applyFill="1" applyBorder="1" applyProtection="1">
      <protection locked="0"/>
    </xf>
    <xf numFmtId="0" fontId="60" fillId="0" borderId="8" xfId="0" applyFont="1" applyBorder="1" applyAlignment="1">
      <alignment horizontal="right"/>
    </xf>
    <xf numFmtId="0" fontId="44" fillId="0" borderId="6" xfId="0" applyFont="1" applyBorder="1"/>
    <xf numFmtId="0" fontId="44" fillId="0" borderId="2" xfId="0" applyFont="1" applyBorder="1"/>
    <xf numFmtId="0" fontId="44" fillId="0" borderId="0" xfId="0" applyFont="1" applyBorder="1"/>
    <xf numFmtId="0" fontId="44" fillId="3" borderId="6" xfId="0" applyFont="1" applyFill="1" applyBorder="1" applyAlignment="1">
      <alignment vertical="top"/>
    </xf>
    <xf numFmtId="0" fontId="44" fillId="3" borderId="2" xfId="0" applyFont="1" applyFill="1" applyBorder="1" applyAlignment="1">
      <alignment vertical="top"/>
    </xf>
    <xf numFmtId="0" fontId="44" fillId="3" borderId="0" xfId="0" applyFont="1" applyFill="1" applyBorder="1" applyAlignment="1">
      <alignment vertical="top"/>
    </xf>
    <xf numFmtId="0" fontId="44" fillId="3" borderId="9" xfId="0" applyFont="1" applyFill="1" applyBorder="1" applyAlignment="1">
      <alignment vertical="top"/>
    </xf>
    <xf numFmtId="0" fontId="47" fillId="2" borderId="8" xfId="0" applyFont="1" applyFill="1" applyBorder="1" applyAlignment="1">
      <alignment horizontal="center" vertical="top" wrapText="1"/>
    </xf>
    <xf numFmtId="0" fontId="47" fillId="2" borderId="0" xfId="0" applyFont="1" applyFill="1" applyBorder="1" applyAlignment="1">
      <alignment horizontal="center" vertical="top" wrapText="1"/>
    </xf>
    <xf numFmtId="0" fontId="47" fillId="2" borderId="9" xfId="0" applyFont="1" applyFill="1" applyBorder="1" applyAlignment="1">
      <alignment horizontal="center" vertical="top" wrapText="1"/>
    </xf>
    <xf numFmtId="0" fontId="59" fillId="2" borderId="1" xfId="0" applyFont="1" applyFill="1" applyBorder="1" applyAlignment="1">
      <alignment horizontal="center" vertical="top" wrapText="1"/>
    </xf>
    <xf numFmtId="0" fontId="59" fillId="2" borderId="6" xfId="0" applyFont="1" applyFill="1" applyBorder="1" applyAlignment="1">
      <alignment horizontal="center" vertical="top" wrapText="1"/>
    </xf>
    <xf numFmtId="0" fontId="59" fillId="2" borderId="2" xfId="0" applyFont="1" applyFill="1" applyBorder="1" applyAlignment="1">
      <alignment horizontal="center" vertical="top" wrapText="1"/>
    </xf>
    <xf numFmtId="0" fontId="48" fillId="2" borderId="8" xfId="0" applyFont="1" applyFill="1" applyBorder="1" applyAlignment="1">
      <alignment horizontal="center" vertical="top" wrapText="1"/>
    </xf>
    <xf numFmtId="0" fontId="48" fillId="2" borderId="0" xfId="0" applyFont="1" applyFill="1" applyBorder="1" applyAlignment="1">
      <alignment horizontal="center" vertical="top" wrapText="1"/>
    </xf>
    <xf numFmtId="0" fontId="48" fillId="2" borderId="9" xfId="0" applyFont="1" applyFill="1" applyBorder="1" applyAlignment="1">
      <alignment horizontal="center" vertical="top" wrapText="1"/>
    </xf>
    <xf numFmtId="0" fontId="0" fillId="0" borderId="0" xfId="0" applyFont="1" applyBorder="1" applyAlignment="1">
      <alignment horizontal="right"/>
    </xf>
    <xf numFmtId="0" fontId="0" fillId="0" borderId="9" xfId="0" applyFont="1" applyBorder="1" applyAlignment="1">
      <alignment horizontal="right"/>
    </xf>
    <xf numFmtId="0" fontId="0" fillId="0" borderId="0" xfId="0" applyBorder="1" applyAlignment="1">
      <alignment horizontal="center"/>
    </xf>
    <xf numFmtId="0" fontId="0" fillId="0" borderId="9" xfId="0" applyBorder="1" applyAlignment="1">
      <alignment horizontal="center"/>
    </xf>
    <xf numFmtId="0" fontId="0" fillId="0" borderId="8" xfId="0" applyBorder="1" applyAlignment="1">
      <alignment horizontal="center"/>
    </xf>
    <xf numFmtId="0" fontId="2" fillId="2" borderId="10" xfId="0" applyFont="1" applyFill="1" applyBorder="1" applyProtection="1">
      <protection locked="0"/>
    </xf>
    <xf numFmtId="0" fontId="2" fillId="2" borderId="11" xfId="0" applyFont="1" applyFill="1" applyBorder="1" applyProtection="1">
      <protection locked="0"/>
    </xf>
    <xf numFmtId="0" fontId="2" fillId="2" borderId="5" xfId="0" applyFont="1" applyFill="1" applyBorder="1" applyProtection="1">
      <protection locked="0"/>
    </xf>
    <xf numFmtId="0" fontId="0" fillId="2" borderId="10" xfId="0" applyFill="1" applyBorder="1" applyAlignment="1" applyProtection="1">
      <protection locked="0"/>
    </xf>
    <xf numFmtId="0" fontId="0" fillId="2" borderId="11" xfId="0" applyFill="1" applyBorder="1" applyAlignment="1" applyProtection="1">
      <protection locked="0"/>
    </xf>
    <xf numFmtId="0" fontId="0" fillId="2" borderId="5" xfId="0" applyFill="1" applyBorder="1" applyAlignment="1" applyProtection="1">
      <protection locked="0"/>
    </xf>
    <xf numFmtId="0" fontId="39" fillId="2" borderId="8" xfId="0" applyFont="1" applyFill="1" applyBorder="1" applyAlignment="1">
      <alignment horizontal="center" vertical="top" wrapText="1"/>
    </xf>
    <xf numFmtId="0" fontId="39" fillId="2" borderId="0" xfId="0" applyFont="1" applyFill="1" applyBorder="1" applyAlignment="1">
      <alignment horizontal="center" vertical="top" wrapText="1"/>
    </xf>
    <xf numFmtId="0" fontId="39" fillId="2" borderId="9" xfId="0" applyFont="1" applyFill="1" applyBorder="1" applyAlignment="1">
      <alignment horizontal="center" vertical="top" wrapText="1"/>
    </xf>
    <xf numFmtId="0" fontId="54" fillId="2" borderId="1" xfId="0" applyFont="1" applyFill="1" applyBorder="1" applyAlignment="1">
      <alignment horizontal="center" vertical="top" wrapText="1"/>
    </xf>
    <xf numFmtId="0" fontId="54" fillId="2" borderId="6" xfId="0" applyFont="1" applyFill="1" applyBorder="1" applyAlignment="1">
      <alignment horizontal="center" vertical="top" wrapText="1"/>
    </xf>
    <xf numFmtId="0" fontId="54" fillId="2" borderId="2" xfId="0" applyFont="1" applyFill="1" applyBorder="1" applyAlignment="1">
      <alignment horizontal="center" vertical="top" wrapText="1"/>
    </xf>
    <xf numFmtId="0" fontId="54" fillId="2" borderId="8" xfId="0" applyFont="1" applyFill="1" applyBorder="1" applyAlignment="1">
      <alignment horizontal="center" vertical="top" wrapText="1"/>
    </xf>
    <xf numFmtId="0" fontId="54" fillId="2" borderId="0" xfId="0" applyFont="1" applyFill="1" applyBorder="1" applyAlignment="1">
      <alignment horizontal="center" vertical="top" wrapText="1"/>
    </xf>
    <xf numFmtId="0" fontId="54" fillId="2" borderId="9" xfId="0" applyFont="1" applyFill="1" applyBorder="1" applyAlignment="1">
      <alignment horizontal="center" vertical="top" wrapText="1"/>
    </xf>
    <xf numFmtId="0" fontId="38" fillId="4" borderId="10" xfId="0" applyFont="1" applyFill="1" applyBorder="1" applyAlignment="1">
      <alignment horizontal="center"/>
    </xf>
    <xf numFmtId="0" fontId="45" fillId="4" borderId="11" xfId="0" applyFont="1" applyFill="1" applyBorder="1" applyAlignment="1">
      <alignment horizontal="center"/>
    </xf>
    <xf numFmtId="0" fontId="45" fillId="4" borderId="5" xfId="0" applyFont="1" applyFill="1" applyBorder="1" applyAlignment="1">
      <alignment horizontal="center"/>
    </xf>
    <xf numFmtId="0" fontId="38" fillId="5" borderId="10" xfId="0" applyFont="1" applyFill="1" applyBorder="1" applyAlignment="1">
      <alignment horizontal="center"/>
    </xf>
    <xf numFmtId="0" fontId="38" fillId="5" borderId="11" xfId="0" applyFont="1" applyFill="1" applyBorder="1" applyAlignment="1">
      <alignment horizontal="center"/>
    </xf>
    <xf numFmtId="0" fontId="38" fillId="5" borderId="5" xfId="0" applyFont="1" applyFill="1" applyBorder="1" applyAlignment="1">
      <alignment horizontal="center"/>
    </xf>
    <xf numFmtId="0" fontId="38" fillId="6" borderId="10" xfId="0" applyFont="1" applyFill="1" applyBorder="1" applyAlignment="1">
      <alignment horizontal="center"/>
    </xf>
    <xf numFmtId="0" fontId="38" fillId="6" borderId="11" xfId="0" applyFont="1" applyFill="1" applyBorder="1" applyAlignment="1">
      <alignment horizontal="center"/>
    </xf>
    <xf numFmtId="0" fontId="38" fillId="6" borderId="5" xfId="0" applyFont="1" applyFill="1" applyBorder="1" applyAlignment="1">
      <alignment horizontal="center"/>
    </xf>
    <xf numFmtId="0" fontId="44" fillId="0" borderId="6" xfId="0" applyFont="1" applyBorder="1" applyAlignment="1">
      <alignment vertical="top" wrapText="1"/>
    </xf>
    <xf numFmtId="0" fontId="44" fillId="0" borderId="2" xfId="0" applyFont="1" applyBorder="1" applyAlignment="1">
      <alignment vertical="top" wrapText="1"/>
    </xf>
    <xf numFmtId="0" fontId="44" fillId="0" borderId="0" xfId="0" applyFont="1" applyBorder="1" applyAlignment="1">
      <alignment vertical="top" wrapText="1"/>
    </xf>
    <xf numFmtId="0" fontId="44" fillId="0" borderId="9" xfId="0" applyFont="1" applyBorder="1" applyAlignment="1">
      <alignment vertical="top" wrapText="1"/>
    </xf>
    <xf numFmtId="0" fontId="44" fillId="0" borderId="9" xfId="0" applyFont="1" applyBorder="1"/>
    <xf numFmtId="0" fontId="59" fillId="2" borderId="1" xfId="0" applyFont="1" applyFill="1" applyBorder="1" applyAlignment="1">
      <alignment horizontal="center" vertical="top"/>
    </xf>
    <xf numFmtId="0" fontId="59" fillId="2" borderId="6" xfId="0" applyFont="1" applyFill="1" applyBorder="1" applyAlignment="1">
      <alignment horizontal="center" vertical="top"/>
    </xf>
    <xf numFmtId="0" fontId="59" fillId="2" borderId="2" xfId="0" applyFont="1" applyFill="1" applyBorder="1" applyAlignment="1">
      <alignment horizontal="center" vertical="top"/>
    </xf>
    <xf numFmtId="0" fontId="59" fillId="2" borderId="8" xfId="0" applyFont="1" applyFill="1" applyBorder="1" applyAlignment="1">
      <alignment horizontal="center" vertical="top"/>
    </xf>
    <xf numFmtId="0" fontId="59" fillId="2" borderId="0" xfId="0" applyFont="1" applyFill="1" applyBorder="1" applyAlignment="1">
      <alignment horizontal="center" vertical="top"/>
    </xf>
    <xf numFmtId="0" fontId="59" fillId="2" borderId="9" xfId="0" applyFont="1" applyFill="1" applyBorder="1" applyAlignment="1">
      <alignment horizontal="center" vertical="top"/>
    </xf>
    <xf numFmtId="0" fontId="59" fillId="2" borderId="8" xfId="0" applyFont="1" applyFill="1" applyBorder="1" applyAlignment="1">
      <alignment horizontal="center" vertical="top" wrapText="1"/>
    </xf>
    <xf numFmtId="0" fontId="59" fillId="2" borderId="0" xfId="0" applyFont="1" applyFill="1" applyBorder="1" applyAlignment="1">
      <alignment horizontal="center" vertical="top" wrapText="1"/>
    </xf>
    <xf numFmtId="0" fontId="59" fillId="2" borderId="9" xfId="0" applyFont="1" applyFill="1" applyBorder="1" applyAlignment="1">
      <alignment horizontal="center" vertical="top" wrapText="1"/>
    </xf>
    <xf numFmtId="0" fontId="44" fillId="0" borderId="7" xfId="0" applyFont="1" applyBorder="1" applyAlignment="1">
      <alignment vertical="top" wrapText="1"/>
    </xf>
    <xf numFmtId="0" fontId="44" fillId="0" borderId="4" xfId="0" applyFont="1" applyBorder="1" applyAlignment="1">
      <alignment vertical="top" wrapText="1"/>
    </xf>
    <xf numFmtId="0" fontId="46" fillId="0" borderId="28" xfId="0" applyFont="1" applyFill="1" applyBorder="1" applyAlignment="1" applyProtection="1">
      <alignment horizontal="center" vertical="center"/>
      <protection locked="0"/>
    </xf>
    <xf numFmtId="0" fontId="46" fillId="0" borderId="23" xfId="0" applyFont="1" applyFill="1" applyBorder="1" applyAlignment="1" applyProtection="1">
      <alignment horizontal="center" vertical="center"/>
      <protection locked="0"/>
    </xf>
    <xf numFmtId="0" fontId="46" fillId="0" borderId="29" xfId="0" applyFont="1" applyFill="1" applyBorder="1" applyAlignment="1" applyProtection="1">
      <alignment horizontal="center" vertical="center"/>
      <protection locked="0"/>
    </xf>
    <xf numFmtId="0" fontId="1" fillId="0" borderId="0" xfId="0" applyFont="1" applyBorder="1" applyAlignment="1">
      <alignment horizontal="left" vertical="center"/>
    </xf>
    <xf numFmtId="0" fontId="48" fillId="2" borderId="8" xfId="0" applyFont="1" applyFill="1" applyBorder="1" applyAlignment="1">
      <alignment horizontal="center" vertical="top"/>
    </xf>
    <xf numFmtId="0" fontId="48" fillId="2" borderId="0" xfId="0" applyFont="1" applyFill="1" applyBorder="1" applyAlignment="1">
      <alignment horizontal="center" vertical="top"/>
    </xf>
    <xf numFmtId="0" fontId="47" fillId="2" borderId="8" xfId="0" applyFont="1" applyFill="1" applyBorder="1" applyAlignment="1">
      <alignment horizontal="center" vertical="top"/>
    </xf>
    <xf numFmtId="0" fontId="47" fillId="2" borderId="0" xfId="0" applyFont="1" applyFill="1" applyBorder="1" applyAlignment="1">
      <alignment horizontal="center" vertical="top"/>
    </xf>
    <xf numFmtId="0" fontId="47" fillId="2" borderId="9" xfId="0" applyFont="1" applyFill="1" applyBorder="1" applyAlignment="1">
      <alignment horizontal="center" vertical="top"/>
    </xf>
    <xf numFmtId="0" fontId="46" fillId="0" borderId="0" xfId="0" applyFont="1" applyBorder="1" applyAlignment="1">
      <alignment horizontal="right" vertical="center"/>
    </xf>
    <xf numFmtId="0" fontId="0" fillId="0" borderId="16" xfId="0" applyBorder="1" applyAlignment="1">
      <alignment horizontal="center"/>
    </xf>
    <xf numFmtId="0" fontId="0" fillId="0" borderId="16" xfId="0" applyFont="1" applyBorder="1" applyAlignment="1">
      <alignment horizontal="center"/>
    </xf>
    <xf numFmtId="0" fontId="5" fillId="2" borderId="0" xfId="0" applyFont="1" applyFill="1" applyBorder="1" applyAlignment="1" applyProtection="1">
      <alignment horizontal="center" vertical="center"/>
      <protection locked="0"/>
    </xf>
    <xf numFmtId="0" fontId="5" fillId="2" borderId="13" xfId="0" applyFont="1" applyFill="1" applyBorder="1" applyAlignment="1" applyProtection="1">
      <alignment horizontal="center" vertical="center"/>
      <protection locked="0"/>
    </xf>
    <xf numFmtId="0" fontId="0" fillId="0" borderId="0" xfId="0" applyFill="1" applyBorder="1" applyAlignment="1" applyProtection="1">
      <alignment horizontal="center"/>
    </xf>
    <xf numFmtId="0" fontId="0" fillId="0" borderId="0" xfId="0" applyFont="1" applyBorder="1" applyAlignment="1">
      <alignment horizontal="left" vertical="center"/>
    </xf>
    <xf numFmtId="0" fontId="59" fillId="2" borderId="1" xfId="0" applyFont="1" applyFill="1" applyBorder="1" applyAlignment="1">
      <alignment horizontal="center"/>
    </xf>
    <xf numFmtId="0" fontId="59" fillId="2" borderId="6" xfId="0" applyFont="1" applyFill="1" applyBorder="1" applyAlignment="1">
      <alignment horizontal="center"/>
    </xf>
    <xf numFmtId="0" fontId="59" fillId="2" borderId="2" xfId="0" applyFont="1" applyFill="1" applyBorder="1" applyAlignment="1">
      <alignment horizontal="center"/>
    </xf>
    <xf numFmtId="0" fontId="44" fillId="0" borderId="6" xfId="0" applyFont="1" applyBorder="1" applyAlignment="1">
      <alignment horizontal="left" vertical="top"/>
    </xf>
    <xf numFmtId="0" fontId="44" fillId="0" borderId="2" xfId="0" applyFont="1" applyBorder="1" applyAlignment="1">
      <alignment horizontal="left" vertical="top"/>
    </xf>
    <xf numFmtId="0" fontId="44" fillId="0" borderId="6" xfId="0" applyFont="1" applyBorder="1" applyAlignment="1"/>
    <xf numFmtId="0" fontId="44" fillId="0" borderId="2" xfId="0" applyFont="1" applyBorder="1" applyAlignment="1"/>
    <xf numFmtId="0" fontId="46" fillId="0" borderId="0" xfId="0" applyFont="1" applyBorder="1"/>
    <xf numFmtId="0" fontId="0" fillId="2" borderId="10" xfId="0" applyFill="1" applyBorder="1" applyAlignment="1" applyProtection="1">
      <alignment horizontal="left"/>
      <protection locked="0"/>
    </xf>
    <xf numFmtId="0" fontId="0" fillId="2" borderId="11" xfId="0" applyFill="1" applyBorder="1" applyAlignment="1" applyProtection="1">
      <alignment horizontal="left"/>
      <protection locked="0"/>
    </xf>
    <xf numFmtId="0" fontId="0" fillId="2" borderId="5" xfId="0" applyFill="1" applyBorder="1" applyAlignment="1" applyProtection="1">
      <alignment horizontal="left"/>
      <protection locked="0"/>
    </xf>
    <xf numFmtId="0" fontId="62" fillId="0" borderId="0" xfId="0" applyFont="1" applyBorder="1" applyAlignment="1"/>
    <xf numFmtId="0" fontId="33" fillId="0" borderId="0" xfId="0" applyFont="1" applyBorder="1" applyAlignment="1"/>
    <xf numFmtId="0" fontId="15" fillId="0" borderId="0" xfId="0" applyFont="1" applyBorder="1"/>
    <xf numFmtId="0" fontId="15" fillId="0" borderId="9" xfId="0" applyFont="1" applyBorder="1"/>
    <xf numFmtId="0" fontId="31" fillId="0" borderId="7" xfId="0" applyFont="1" applyFill="1" applyBorder="1" applyAlignment="1" applyProtection="1">
      <alignment horizontal="left" vertical="center" wrapText="1"/>
    </xf>
    <xf numFmtId="0" fontId="31" fillId="0" borderId="4" xfId="0" applyFont="1" applyFill="1" applyBorder="1" applyAlignment="1" applyProtection="1">
      <alignment horizontal="left" vertical="center" wrapText="1"/>
    </xf>
    <xf numFmtId="0" fontId="31" fillId="0" borderId="3" xfId="0" applyFont="1" applyFill="1" applyBorder="1" applyAlignment="1" applyProtection="1">
      <alignment horizontal="right" vertical="top" wrapText="1"/>
    </xf>
    <xf numFmtId="0" fontId="31" fillId="0" borderId="7" xfId="0" applyFont="1" applyFill="1" applyBorder="1" applyAlignment="1" applyProtection="1">
      <alignment horizontal="right" vertical="top" wrapText="1"/>
    </xf>
    <xf numFmtId="0" fontId="27" fillId="2" borderId="29" xfId="0" applyFont="1" applyFill="1" applyBorder="1" applyAlignment="1" applyProtection="1">
      <alignment horizontal="left" vertical="center" wrapText="1"/>
      <protection locked="0"/>
    </xf>
    <xf numFmtId="0" fontId="5" fillId="2" borderId="28" xfId="0" applyFont="1" applyFill="1" applyBorder="1" applyAlignment="1" applyProtection="1">
      <alignment horizontal="center" vertical="center" wrapText="1"/>
      <protection locked="0"/>
    </xf>
    <xf numFmtId="0" fontId="5" fillId="2" borderId="29" xfId="0" applyFont="1" applyFill="1" applyBorder="1" applyAlignment="1" applyProtection="1">
      <alignment horizontal="center" vertical="center" wrapText="1"/>
      <protection locked="0"/>
    </xf>
    <xf numFmtId="0" fontId="5" fillId="2" borderId="23" xfId="0" applyFont="1" applyFill="1" applyBorder="1" applyAlignment="1" applyProtection="1">
      <alignment horizontal="center" vertical="center" wrapText="1"/>
      <protection locked="0"/>
    </xf>
    <xf numFmtId="0" fontId="5" fillId="2" borderId="22" xfId="0" applyFont="1" applyFill="1" applyBorder="1" applyAlignment="1" applyProtection="1">
      <alignment horizontal="center" vertical="center" wrapText="1"/>
      <protection locked="0"/>
    </xf>
    <xf numFmtId="49" fontId="5" fillId="2" borderId="28" xfId="0" applyNumberFormat="1" applyFont="1" applyFill="1" applyBorder="1" applyAlignment="1" applyProtection="1">
      <alignment horizontal="left" vertical="center" wrapText="1"/>
      <protection locked="0"/>
    </xf>
    <xf numFmtId="49" fontId="5" fillId="2" borderId="23" xfId="0" applyNumberFormat="1" applyFont="1" applyFill="1" applyBorder="1" applyAlignment="1" applyProtection="1">
      <alignment horizontal="left" vertical="center" wrapText="1"/>
      <protection locked="0"/>
    </xf>
    <xf numFmtId="49" fontId="5" fillId="2" borderId="29" xfId="0" applyNumberFormat="1" applyFont="1" applyFill="1" applyBorder="1" applyAlignment="1" applyProtection="1">
      <alignment horizontal="left" vertical="center" wrapText="1"/>
      <protection locked="0"/>
    </xf>
    <xf numFmtId="0" fontId="27" fillId="0" borderId="25" xfId="0" applyFont="1" applyBorder="1" applyAlignment="1">
      <alignment horizontal="center" vertical="center" wrapText="1"/>
    </xf>
    <xf numFmtId="0" fontId="27" fillId="0" borderId="80" xfId="0" applyFont="1" applyBorder="1" applyAlignment="1">
      <alignment horizontal="center" vertical="center" wrapText="1"/>
    </xf>
    <xf numFmtId="0" fontId="27" fillId="0" borderId="79" xfId="0" applyFont="1" applyBorder="1" applyAlignment="1">
      <alignment horizontal="center" vertical="center" wrapText="1"/>
    </xf>
    <xf numFmtId="0" fontId="27" fillId="0" borderId="68" xfId="0" applyFont="1" applyBorder="1" applyAlignment="1">
      <alignment horizontal="center" vertical="center" wrapText="1"/>
    </xf>
    <xf numFmtId="0" fontId="27" fillId="0" borderId="33" xfId="0" applyFont="1" applyBorder="1" applyAlignment="1">
      <alignment horizontal="center" vertical="center" wrapText="1"/>
    </xf>
    <xf numFmtId="0" fontId="27" fillId="0" borderId="11" xfId="0" applyFont="1" applyBorder="1" applyAlignment="1">
      <alignment horizontal="center" vertical="center" wrapText="1"/>
    </xf>
    <xf numFmtId="0" fontId="27" fillId="2" borderId="36" xfId="0" applyFont="1" applyFill="1" applyBorder="1" applyAlignment="1" applyProtection="1">
      <alignment horizontal="left" vertical="center" wrapText="1"/>
      <protection locked="0"/>
    </xf>
    <xf numFmtId="14" fontId="27" fillId="2" borderId="34" xfId="0" applyNumberFormat="1" applyFont="1" applyFill="1" applyBorder="1" applyAlignment="1" applyProtection="1">
      <alignment horizontal="center" vertical="center" wrapText="1"/>
      <protection locked="0"/>
    </xf>
    <xf numFmtId="0" fontId="27" fillId="0" borderId="4" xfId="0" applyFont="1" applyBorder="1" applyAlignment="1">
      <alignment horizontal="left" vertical="center"/>
    </xf>
    <xf numFmtId="14" fontId="27" fillId="2" borderId="28" xfId="0" applyNumberFormat="1" applyFont="1" applyFill="1" applyBorder="1" applyAlignment="1" applyProtection="1">
      <alignment horizontal="center" vertical="center" wrapText="1"/>
      <protection locked="0"/>
    </xf>
    <xf numFmtId="0" fontId="13" fillId="0" borderId="22" xfId="0" applyFont="1" applyBorder="1" applyAlignment="1">
      <alignment horizontal="right" vertical="top" wrapText="1"/>
    </xf>
    <xf numFmtId="0" fontId="13" fillId="0" borderId="23" xfId="0" applyFont="1" applyBorder="1" applyAlignment="1">
      <alignment horizontal="right" vertical="top" wrapText="1"/>
    </xf>
    <xf numFmtId="0" fontId="13" fillId="0" borderId="23" xfId="0" applyFont="1" applyBorder="1" applyAlignment="1">
      <alignment horizontal="left" vertical="top" wrapText="1"/>
    </xf>
    <xf numFmtId="0" fontId="13" fillId="0" borderId="24" xfId="0" applyFont="1" applyBorder="1" applyAlignment="1">
      <alignment horizontal="left" vertical="top" wrapText="1"/>
    </xf>
    <xf numFmtId="0" fontId="27" fillId="2" borderId="65" xfId="0" applyFont="1" applyFill="1" applyBorder="1" applyAlignment="1" applyProtection="1">
      <alignment horizontal="center" vertical="center" wrapText="1"/>
      <protection locked="0"/>
    </xf>
    <xf numFmtId="0" fontId="27" fillId="2" borderId="13" xfId="0" applyFont="1" applyFill="1" applyBorder="1" applyAlignment="1" applyProtection="1">
      <alignment horizontal="center" vertical="center" wrapText="1"/>
      <protection locked="0"/>
    </xf>
    <xf numFmtId="0" fontId="27" fillId="2" borderId="15" xfId="0" applyFont="1" applyFill="1" applyBorder="1" applyAlignment="1" applyProtection="1">
      <alignment horizontal="center" vertical="center" wrapText="1"/>
      <protection locked="0"/>
    </xf>
    <xf numFmtId="0" fontId="27" fillId="2" borderId="67" xfId="0" applyFont="1" applyFill="1" applyBorder="1" applyAlignment="1" applyProtection="1">
      <alignment horizontal="left" vertical="center" wrapText="1"/>
      <protection locked="0"/>
    </xf>
    <xf numFmtId="0" fontId="27" fillId="2" borderId="13" xfId="0" applyFont="1" applyFill="1" applyBorder="1" applyAlignment="1" applyProtection="1">
      <alignment horizontal="left" vertical="center" wrapText="1"/>
      <protection locked="0"/>
    </xf>
    <xf numFmtId="0" fontId="27" fillId="2" borderId="15" xfId="0" applyFont="1" applyFill="1" applyBorder="1" applyAlignment="1" applyProtection="1">
      <alignment horizontal="left" vertical="center" wrapText="1"/>
      <protection locked="0"/>
    </xf>
    <xf numFmtId="0" fontId="27" fillId="2" borderId="67" xfId="0" applyFont="1" applyFill="1" applyBorder="1" applyAlignment="1" applyProtection="1">
      <alignment horizontal="center" vertical="center" wrapText="1"/>
      <protection locked="0"/>
    </xf>
    <xf numFmtId="14" fontId="27" fillId="2" borderId="67" xfId="0" applyNumberFormat="1" applyFont="1" applyFill="1" applyBorder="1" applyAlignment="1" applyProtection="1">
      <alignment horizontal="center" vertical="center" wrapText="1"/>
      <protection locked="0"/>
    </xf>
    <xf numFmtId="0" fontId="27" fillId="2" borderId="48" xfId="0" applyFont="1" applyFill="1" applyBorder="1" applyAlignment="1" applyProtection="1">
      <alignment horizontal="left" vertical="center" wrapText="1"/>
      <protection locked="0"/>
    </xf>
    <xf numFmtId="0" fontId="25" fillId="0" borderId="0" xfId="0" applyFont="1" applyBorder="1" applyAlignment="1" applyProtection="1">
      <alignment vertical="center"/>
    </xf>
    <xf numFmtId="0" fontId="25" fillId="0" borderId="9" xfId="0" applyFont="1" applyBorder="1" applyAlignment="1" applyProtection="1">
      <alignment vertical="center"/>
    </xf>
    <xf numFmtId="0" fontId="27" fillId="2" borderId="8" xfId="0" applyNumberFormat="1" applyFont="1" applyFill="1" applyBorder="1" applyAlignment="1" applyProtection="1">
      <alignment horizontal="center" vertical="center" wrapText="1"/>
      <protection locked="0"/>
    </xf>
    <xf numFmtId="0" fontId="27" fillId="2" borderId="0" xfId="0" applyNumberFormat="1" applyFont="1" applyFill="1" applyBorder="1" applyAlignment="1" applyProtection="1">
      <alignment horizontal="center" vertical="center" wrapText="1"/>
      <protection locked="0"/>
    </xf>
    <xf numFmtId="0" fontId="27" fillId="2" borderId="9" xfId="0" applyNumberFormat="1" applyFont="1" applyFill="1" applyBorder="1" applyAlignment="1" applyProtection="1">
      <alignment horizontal="center" vertical="center" wrapText="1"/>
      <protection locked="0"/>
    </xf>
    <xf numFmtId="0" fontId="27" fillId="0" borderId="7" xfId="0" applyFont="1" applyBorder="1" applyAlignment="1" applyProtection="1">
      <alignment horizontal="left" vertical="center"/>
      <protection locked="0"/>
    </xf>
    <xf numFmtId="0" fontId="27" fillId="0" borderId="4" xfId="0" applyFont="1" applyBorder="1" applyAlignment="1" applyProtection="1">
      <alignment horizontal="left" vertical="center"/>
      <protection locked="0"/>
    </xf>
    <xf numFmtId="0" fontId="28" fillId="0" borderId="1" xfId="0" applyFont="1" applyFill="1" applyBorder="1" applyAlignment="1" applyProtection="1">
      <alignment horizontal="left" vertical="center"/>
      <protection locked="0"/>
    </xf>
    <xf numFmtId="0" fontId="28" fillId="0" borderId="6" xfId="0" applyFont="1" applyFill="1" applyBorder="1" applyAlignment="1" applyProtection="1">
      <alignment horizontal="left" vertical="center"/>
      <protection locked="0"/>
    </xf>
    <xf numFmtId="0" fontId="25" fillId="0" borderId="6" xfId="0" applyFont="1" applyFill="1" applyBorder="1" applyAlignment="1" applyProtection="1">
      <alignment horizontal="left" vertical="center"/>
      <protection locked="0"/>
    </xf>
    <xf numFmtId="0" fontId="25" fillId="0" borderId="2" xfId="0" applyFont="1" applyFill="1" applyBorder="1" applyAlignment="1" applyProtection="1">
      <alignment horizontal="left" vertical="center"/>
      <protection locked="0"/>
    </xf>
    <xf numFmtId="0" fontId="27" fillId="2" borderId="3" xfId="0" applyNumberFormat="1" applyFont="1" applyFill="1" applyBorder="1" applyAlignment="1" applyProtection="1">
      <alignment horizontal="center" vertical="center" wrapText="1"/>
      <protection locked="0"/>
    </xf>
    <xf numFmtId="0" fontId="27" fillId="2" borderId="7" xfId="0" applyNumberFormat="1" applyFont="1" applyFill="1" applyBorder="1" applyAlignment="1" applyProtection="1">
      <alignment horizontal="center" vertical="center" wrapText="1"/>
      <protection locked="0"/>
    </xf>
    <xf numFmtId="0" fontId="27" fillId="2" borderId="4" xfId="0" applyNumberFormat="1" applyFont="1" applyFill="1" applyBorder="1" applyAlignment="1" applyProtection="1">
      <alignment horizontal="center" vertical="center" wrapText="1"/>
      <protection locked="0"/>
    </xf>
    <xf numFmtId="0" fontId="27" fillId="2" borderId="46" xfId="0" applyFont="1" applyFill="1" applyBorder="1" applyAlignment="1" applyProtection="1">
      <alignment horizontal="left" vertical="center" wrapText="1"/>
      <protection locked="0"/>
    </xf>
    <xf numFmtId="0" fontId="27" fillId="2" borderId="37" xfId="0" applyFont="1" applyFill="1" applyBorder="1" applyAlignment="1" applyProtection="1">
      <alignment horizontal="left" vertical="center" wrapText="1"/>
      <protection locked="0"/>
    </xf>
    <xf numFmtId="0" fontId="27" fillId="2" borderId="38" xfId="0" applyFont="1" applyFill="1" applyBorder="1" applyAlignment="1" applyProtection="1">
      <alignment horizontal="left" vertical="center" wrapText="1"/>
      <protection locked="0"/>
    </xf>
    <xf numFmtId="0" fontId="27" fillId="0" borderId="33" xfId="0" applyFont="1" applyBorder="1" applyAlignment="1" applyProtection="1">
      <alignment horizontal="center" vertical="center" wrapText="1"/>
    </xf>
    <xf numFmtId="0" fontId="27" fillId="0" borderId="11" xfId="0" applyFont="1" applyBorder="1" applyAlignment="1" applyProtection="1">
      <alignment horizontal="center" vertical="center" wrapText="1"/>
    </xf>
    <xf numFmtId="0" fontId="27" fillId="0" borderId="68" xfId="0" applyFont="1" applyBorder="1" applyAlignment="1" applyProtection="1">
      <alignment horizontal="center" vertical="center" wrapText="1"/>
    </xf>
    <xf numFmtId="0" fontId="27" fillId="2" borderId="22" xfId="0" applyFont="1" applyFill="1" applyBorder="1" applyAlignment="1" applyProtection="1">
      <alignment horizontal="left" vertical="center" wrapText="1"/>
      <protection locked="0"/>
    </xf>
    <xf numFmtId="0" fontId="27" fillId="2" borderId="64" xfId="0" applyFont="1" applyFill="1" applyBorder="1" applyAlignment="1" applyProtection="1">
      <alignment horizontal="left" vertical="center" wrapText="1"/>
      <protection locked="0"/>
    </xf>
    <xf numFmtId="0" fontId="35" fillId="0" borderId="10" xfId="0" applyFont="1" applyBorder="1" applyAlignment="1" applyProtection="1">
      <alignment horizontal="center" vertical="center" wrapText="1"/>
    </xf>
    <xf numFmtId="0" fontId="35" fillId="0" borderId="11" xfId="0" applyFont="1" applyBorder="1" applyAlignment="1" applyProtection="1">
      <alignment horizontal="center" vertical="center" wrapText="1"/>
    </xf>
    <xf numFmtId="0" fontId="35" fillId="0" borderId="5" xfId="0" applyFont="1" applyBorder="1" applyAlignment="1" applyProtection="1">
      <alignment horizontal="center" vertical="center" wrapText="1"/>
    </xf>
    <xf numFmtId="0" fontId="27" fillId="0" borderId="10" xfId="0" applyFont="1" applyBorder="1" applyAlignment="1" applyProtection="1">
      <alignment horizontal="center" vertical="center" wrapText="1"/>
    </xf>
    <xf numFmtId="0" fontId="27" fillId="0" borderId="5" xfId="0" applyFont="1" applyBorder="1" applyAlignment="1" applyProtection="1">
      <alignment horizontal="center" vertical="center" wrapText="1"/>
    </xf>
    <xf numFmtId="0" fontId="27" fillId="2" borderId="45" xfId="0" applyFont="1" applyFill="1" applyBorder="1" applyAlignment="1" applyProtection="1">
      <alignment horizontal="left" vertical="center" wrapText="1"/>
      <protection locked="0"/>
    </xf>
    <xf numFmtId="0" fontId="9" fillId="0" borderId="1" xfId="0" applyFont="1" applyBorder="1" applyAlignment="1">
      <alignment horizontal="center" vertical="center"/>
    </xf>
    <xf numFmtId="0" fontId="9" fillId="0" borderId="6" xfId="0" applyFont="1" applyBorder="1" applyAlignment="1">
      <alignment horizontal="center" vertical="center"/>
    </xf>
    <xf numFmtId="0" fontId="9" fillId="0" borderId="2" xfId="0" applyFont="1" applyBorder="1" applyAlignment="1">
      <alignment horizontal="center" vertical="center"/>
    </xf>
    <xf numFmtId="0" fontId="9" fillId="0" borderId="8" xfId="0" applyFont="1" applyBorder="1" applyAlignment="1">
      <alignment horizontal="center" vertical="center"/>
    </xf>
    <xf numFmtId="0" fontId="9" fillId="0" borderId="0" xfId="0" applyFont="1" applyBorder="1" applyAlignment="1">
      <alignment horizontal="center" vertical="center"/>
    </xf>
    <xf numFmtId="0" fontId="9" fillId="0" borderId="9" xfId="0" applyFont="1" applyBorder="1" applyAlignment="1">
      <alignment horizontal="center" vertical="center"/>
    </xf>
    <xf numFmtId="0" fontId="9" fillId="0" borderId="3" xfId="0" applyFont="1" applyBorder="1" applyAlignment="1">
      <alignment horizontal="center" vertical="center"/>
    </xf>
    <xf numFmtId="0" fontId="9" fillId="0" borderId="7" xfId="0" applyFont="1" applyBorder="1" applyAlignment="1">
      <alignment horizontal="center" vertical="center"/>
    </xf>
    <xf numFmtId="0" fontId="9" fillId="0" borderId="4" xfId="0" applyFont="1" applyBorder="1" applyAlignment="1">
      <alignment horizontal="center" vertical="center"/>
    </xf>
    <xf numFmtId="0" fontId="9" fillId="0" borderId="1" xfId="0" applyFont="1" applyBorder="1" applyAlignment="1">
      <alignment horizontal="left" vertical="center" wrapText="1"/>
    </xf>
    <xf numFmtId="0" fontId="9" fillId="0" borderId="6" xfId="0" applyFont="1" applyBorder="1" applyAlignment="1">
      <alignment horizontal="left" vertical="center" wrapText="1"/>
    </xf>
    <xf numFmtId="0" fontId="9" fillId="0" borderId="2" xfId="0" applyFont="1" applyBorder="1" applyAlignment="1">
      <alignment horizontal="left" vertical="center" wrapText="1"/>
    </xf>
    <xf numFmtId="0" fontId="9" fillId="0" borderId="8" xfId="0" applyFont="1" applyBorder="1" applyAlignment="1">
      <alignment horizontal="left" vertical="center" wrapText="1"/>
    </xf>
    <xf numFmtId="0" fontId="9" fillId="0" borderId="0" xfId="0" applyFont="1" applyBorder="1" applyAlignment="1">
      <alignment horizontal="left" vertical="center" wrapText="1"/>
    </xf>
    <xf numFmtId="0" fontId="9" fillId="0" borderId="9" xfId="0" applyFont="1" applyBorder="1" applyAlignment="1">
      <alignment horizontal="left" vertical="center" wrapText="1"/>
    </xf>
    <xf numFmtId="0" fontId="9" fillId="0" borderId="3" xfId="0" applyFont="1" applyBorder="1" applyAlignment="1">
      <alignment horizontal="left" vertical="center" wrapText="1"/>
    </xf>
    <xf numFmtId="0" fontId="9" fillId="0" borderId="7" xfId="0" applyFont="1" applyBorder="1" applyAlignment="1">
      <alignment horizontal="left" vertical="center" wrapText="1"/>
    </xf>
    <xf numFmtId="0" fontId="9" fillId="0" borderId="4" xfId="0" applyFont="1" applyBorder="1" applyAlignment="1">
      <alignment horizontal="left" vertical="center" wrapText="1"/>
    </xf>
    <xf numFmtId="49" fontId="9" fillId="0" borderId="1" xfId="0" applyNumberFormat="1" applyFont="1" applyBorder="1" applyAlignment="1">
      <alignment horizontal="center" vertical="center"/>
    </xf>
    <xf numFmtId="49" fontId="9" fillId="0" borderId="6" xfId="0" applyNumberFormat="1" applyFont="1" applyBorder="1" applyAlignment="1">
      <alignment horizontal="center" vertical="center"/>
    </xf>
    <xf numFmtId="49" fontId="9" fillId="0" borderId="2" xfId="0" applyNumberFormat="1" applyFont="1" applyBorder="1" applyAlignment="1">
      <alignment horizontal="center" vertical="center"/>
    </xf>
    <xf numFmtId="49" fontId="9" fillId="0" borderId="8" xfId="0" applyNumberFormat="1" applyFont="1" applyBorder="1" applyAlignment="1">
      <alignment horizontal="center" vertical="center"/>
    </xf>
    <xf numFmtId="49" fontId="9" fillId="0" borderId="0" xfId="0" applyNumberFormat="1" applyFont="1" applyBorder="1" applyAlignment="1">
      <alignment horizontal="center" vertical="center"/>
    </xf>
    <xf numFmtId="49" fontId="9" fillId="0" borderId="9" xfId="0" applyNumberFormat="1" applyFont="1" applyBorder="1" applyAlignment="1">
      <alignment horizontal="center" vertical="center"/>
    </xf>
    <xf numFmtId="49" fontId="9" fillId="0" borderId="3" xfId="0" applyNumberFormat="1" applyFont="1" applyBorder="1" applyAlignment="1">
      <alignment horizontal="center" vertical="center"/>
    </xf>
    <xf numFmtId="49" fontId="9" fillId="0" borderId="7" xfId="0" applyNumberFormat="1" applyFont="1" applyBorder="1" applyAlignment="1">
      <alignment horizontal="center" vertical="center"/>
    </xf>
    <xf numFmtId="49" fontId="9" fillId="0" borderId="4" xfId="0" applyNumberFormat="1" applyFont="1" applyBorder="1" applyAlignment="1">
      <alignment horizontal="center" vertical="center"/>
    </xf>
    <xf numFmtId="0" fontId="9" fillId="0" borderId="1" xfId="0" applyFont="1" applyBorder="1" applyAlignment="1">
      <alignment horizontal="left" vertical="center"/>
    </xf>
    <xf numFmtId="0" fontId="9" fillId="0" borderId="6" xfId="0" applyFont="1" applyBorder="1" applyAlignment="1">
      <alignment horizontal="left" vertical="center"/>
    </xf>
    <xf numFmtId="0" fontId="9" fillId="0" borderId="2" xfId="0" applyFont="1" applyBorder="1" applyAlignment="1">
      <alignment horizontal="left" vertical="center"/>
    </xf>
    <xf numFmtId="0" fontId="9" fillId="0" borderId="8" xfId="0" applyFont="1" applyBorder="1" applyAlignment="1">
      <alignment horizontal="left" vertical="center"/>
    </xf>
    <xf numFmtId="0" fontId="9" fillId="0" borderId="0" xfId="0" applyFont="1" applyBorder="1" applyAlignment="1">
      <alignment horizontal="left" vertical="center"/>
    </xf>
    <xf numFmtId="0" fontId="9" fillId="0" borderId="9" xfId="0" applyFont="1" applyBorder="1" applyAlignment="1">
      <alignment horizontal="left" vertical="center"/>
    </xf>
    <xf numFmtId="0" fontId="9" fillId="0" borderId="3" xfId="0" applyFont="1" applyBorder="1" applyAlignment="1">
      <alignment horizontal="left" vertical="center"/>
    </xf>
    <xf numFmtId="0" fontId="9" fillId="0" borderId="7" xfId="0" applyFont="1" applyBorder="1" applyAlignment="1">
      <alignment horizontal="left" vertical="center"/>
    </xf>
    <xf numFmtId="0" fontId="9" fillId="0" borderId="4" xfId="0" applyFont="1" applyBorder="1" applyAlignment="1">
      <alignment horizontal="left" vertical="center"/>
    </xf>
    <xf numFmtId="0" fontId="7" fillId="0" borderId="1" xfId="0" applyFont="1" applyBorder="1" applyAlignment="1">
      <alignment horizontal="left" vertical="center"/>
    </xf>
    <xf numFmtId="0" fontId="7" fillId="0" borderId="6" xfId="0" applyFont="1" applyBorder="1" applyAlignment="1">
      <alignment horizontal="left" vertical="center"/>
    </xf>
    <xf numFmtId="0" fontId="7" fillId="0" borderId="2" xfId="0" applyFont="1" applyBorder="1" applyAlignment="1">
      <alignment horizontal="left" vertical="center"/>
    </xf>
    <xf numFmtId="0" fontId="7" fillId="0" borderId="8" xfId="0" applyFont="1" applyBorder="1" applyAlignment="1">
      <alignment horizontal="left" vertical="center"/>
    </xf>
    <xf numFmtId="0" fontId="7" fillId="0" borderId="0" xfId="0" applyFont="1" applyBorder="1" applyAlignment="1">
      <alignment horizontal="left" vertical="center"/>
    </xf>
    <xf numFmtId="0" fontId="7" fillId="0" borderId="9" xfId="0" applyFont="1" applyBorder="1" applyAlignment="1">
      <alignment horizontal="left" vertical="center"/>
    </xf>
    <xf numFmtId="0" fontId="7" fillId="0" borderId="3" xfId="0" applyFont="1" applyBorder="1" applyAlignment="1">
      <alignment horizontal="left" vertical="center"/>
    </xf>
    <xf numFmtId="0" fontId="7" fillId="0" borderId="7" xfId="0" applyFont="1" applyBorder="1" applyAlignment="1">
      <alignment horizontal="left" vertical="center"/>
    </xf>
    <xf numFmtId="0" fontId="7" fillId="0" borderId="4" xfId="0" applyFont="1" applyBorder="1" applyAlignment="1">
      <alignment horizontal="left" vertical="center"/>
    </xf>
    <xf numFmtId="0" fontId="9" fillId="0" borderId="1" xfId="0" applyFont="1" applyBorder="1" applyAlignment="1">
      <alignment horizontal="center" vertical="center" wrapText="1"/>
    </xf>
    <xf numFmtId="0" fontId="9" fillId="0" borderId="6" xfId="0" applyFont="1" applyBorder="1" applyAlignment="1">
      <alignment horizontal="center" vertical="center" wrapText="1"/>
    </xf>
    <xf numFmtId="0" fontId="9" fillId="0" borderId="2" xfId="0" applyFont="1" applyBorder="1" applyAlignment="1">
      <alignment horizontal="center" vertical="center" wrapText="1"/>
    </xf>
    <xf numFmtId="0" fontId="9" fillId="0" borderId="8" xfId="0" applyFont="1" applyBorder="1" applyAlignment="1">
      <alignment horizontal="center" vertical="center" wrapText="1"/>
    </xf>
    <xf numFmtId="0" fontId="9" fillId="0" borderId="0" xfId="0" applyFont="1" applyBorder="1" applyAlignment="1">
      <alignment horizontal="center" vertical="center" wrapText="1"/>
    </xf>
    <xf numFmtId="0" fontId="9" fillId="0" borderId="9" xfId="0" applyFont="1" applyBorder="1" applyAlignment="1">
      <alignment horizontal="center" vertical="center" wrapText="1"/>
    </xf>
    <xf numFmtId="0" fontId="9" fillId="0" borderId="3" xfId="0" applyFont="1" applyBorder="1" applyAlignment="1">
      <alignment horizontal="center" vertical="center" wrapText="1"/>
    </xf>
    <xf numFmtId="0" fontId="9" fillId="0" borderId="7" xfId="0" applyFont="1" applyBorder="1" applyAlignment="1">
      <alignment horizontal="center" vertical="center" wrapText="1"/>
    </xf>
    <xf numFmtId="0" fontId="9" fillId="0" borderId="4" xfId="0" applyFont="1" applyBorder="1" applyAlignment="1">
      <alignment horizontal="center" vertical="center" wrapText="1"/>
    </xf>
    <xf numFmtId="0" fontId="11" fillId="0" borderId="1" xfId="0" applyFont="1" applyBorder="1" applyAlignment="1">
      <alignment horizontal="center" vertical="center"/>
    </xf>
    <xf numFmtId="0" fontId="11" fillId="0" borderId="6" xfId="0" applyFont="1" applyBorder="1" applyAlignment="1">
      <alignment horizontal="center" vertical="center"/>
    </xf>
    <xf numFmtId="0" fontId="11" fillId="0" borderId="2" xfId="0" applyFont="1" applyBorder="1" applyAlignment="1">
      <alignment horizontal="center" vertical="center"/>
    </xf>
    <xf numFmtId="0" fontId="11" fillId="0" borderId="8" xfId="0" applyFont="1" applyBorder="1" applyAlignment="1">
      <alignment horizontal="center" vertical="center"/>
    </xf>
    <xf numFmtId="0" fontId="11" fillId="0" borderId="0" xfId="0" applyFont="1" applyBorder="1" applyAlignment="1">
      <alignment horizontal="center" vertical="center"/>
    </xf>
    <xf numFmtId="0" fontId="11" fillId="0" borderId="9" xfId="0" applyFont="1" applyBorder="1" applyAlignment="1">
      <alignment horizontal="center" vertical="center"/>
    </xf>
    <xf numFmtId="0" fontId="11" fillId="0" borderId="3" xfId="0" applyFont="1" applyBorder="1" applyAlignment="1">
      <alignment horizontal="center" vertical="center"/>
    </xf>
    <xf numFmtId="0" fontId="11" fillId="0" borderId="7" xfId="0" applyFont="1" applyBorder="1" applyAlignment="1">
      <alignment horizontal="center" vertical="center"/>
    </xf>
    <xf numFmtId="0" fontId="11" fillId="0" borderId="4" xfId="0" applyFont="1" applyBorder="1" applyAlignment="1">
      <alignment horizontal="center" vertical="center"/>
    </xf>
    <xf numFmtId="49" fontId="9" fillId="0" borderId="1" xfId="0" applyNumberFormat="1" applyFont="1" applyBorder="1" applyAlignment="1">
      <alignment horizontal="center" vertical="center" wrapText="1"/>
    </xf>
    <xf numFmtId="49" fontId="9" fillId="0" borderId="6" xfId="0" applyNumberFormat="1" applyFont="1" applyBorder="1" applyAlignment="1">
      <alignment horizontal="center" vertical="center" wrapText="1"/>
    </xf>
    <xf numFmtId="49" fontId="9" fillId="0" borderId="2" xfId="0" applyNumberFormat="1" applyFont="1" applyBorder="1" applyAlignment="1">
      <alignment horizontal="center" vertical="center" wrapText="1"/>
    </xf>
    <xf numFmtId="49" fontId="9" fillId="0" borderId="8" xfId="0" applyNumberFormat="1" applyFont="1" applyBorder="1" applyAlignment="1">
      <alignment horizontal="center" vertical="center" wrapText="1"/>
    </xf>
    <xf numFmtId="49" fontId="9" fillId="0" borderId="0" xfId="0" applyNumberFormat="1" applyFont="1" applyBorder="1" applyAlignment="1">
      <alignment horizontal="center" vertical="center" wrapText="1"/>
    </xf>
    <xf numFmtId="49" fontId="9" fillId="0" borderId="9" xfId="0" applyNumberFormat="1" applyFont="1" applyBorder="1" applyAlignment="1">
      <alignment horizontal="center" vertical="center" wrapText="1"/>
    </xf>
    <xf numFmtId="49" fontId="9" fillId="0" borderId="3" xfId="0" applyNumberFormat="1" applyFont="1" applyBorder="1" applyAlignment="1">
      <alignment horizontal="center" vertical="center" wrapText="1"/>
    </xf>
    <xf numFmtId="49" fontId="9" fillId="0" borderId="7" xfId="0" applyNumberFormat="1" applyFont="1" applyBorder="1" applyAlignment="1">
      <alignment horizontal="center" vertical="center" wrapText="1"/>
    </xf>
    <xf numFmtId="49" fontId="9" fillId="0" borderId="4" xfId="0" applyNumberFormat="1" applyFont="1" applyBorder="1" applyAlignment="1">
      <alignment horizontal="center" vertical="center" wrapText="1"/>
    </xf>
    <xf numFmtId="0" fontId="9" fillId="0" borderId="0" xfId="0" applyFont="1" applyAlignment="1">
      <alignment horizontal="left" vertical="center"/>
    </xf>
    <xf numFmtId="0" fontId="10" fillId="0" borderId="0" xfId="0" applyFont="1" applyAlignment="1">
      <alignment horizontal="left" vertical="top"/>
    </xf>
    <xf numFmtId="0" fontId="11" fillId="0" borderId="1" xfId="0" applyFont="1" applyBorder="1" applyAlignment="1">
      <alignment horizontal="center" vertical="center" wrapText="1"/>
    </xf>
    <xf numFmtId="0" fontId="11" fillId="0" borderId="6" xfId="0" applyFont="1" applyBorder="1" applyAlignment="1">
      <alignment horizontal="center" vertical="center" wrapText="1"/>
    </xf>
    <xf numFmtId="0" fontId="11" fillId="0" borderId="2" xfId="0" applyFont="1" applyBorder="1" applyAlignment="1">
      <alignment horizontal="center" vertical="center" wrapText="1"/>
    </xf>
    <xf numFmtId="0" fontId="11" fillId="0" borderId="8" xfId="0" applyFont="1" applyBorder="1" applyAlignment="1">
      <alignment horizontal="center" vertical="center" wrapText="1"/>
    </xf>
    <xf numFmtId="0" fontId="11" fillId="0" borderId="0" xfId="0" applyFont="1" applyBorder="1" applyAlignment="1">
      <alignment horizontal="center" vertical="center" wrapText="1"/>
    </xf>
    <xf numFmtId="0" fontId="11" fillId="0" borderId="9" xfId="0" applyFont="1" applyBorder="1" applyAlignment="1">
      <alignment horizontal="center" vertical="center" wrapText="1"/>
    </xf>
    <xf numFmtId="0" fontId="11" fillId="0" borderId="3"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4" xfId="0" applyFont="1" applyBorder="1" applyAlignment="1">
      <alignment horizontal="center" vertical="center" wrapText="1"/>
    </xf>
    <xf numFmtId="0" fontId="0" fillId="0" borderId="1" xfId="0" applyBorder="1" applyAlignment="1">
      <alignment horizontal="center"/>
    </xf>
    <xf numFmtId="0" fontId="0" fillId="0" borderId="6" xfId="0" applyBorder="1" applyAlignment="1">
      <alignment horizontal="center"/>
    </xf>
    <xf numFmtId="0" fontId="0" fillId="0" borderId="2" xfId="0" applyBorder="1" applyAlignment="1">
      <alignment horizontal="center"/>
    </xf>
    <xf numFmtId="0" fontId="0" fillId="0" borderId="3" xfId="0" applyBorder="1" applyAlignment="1">
      <alignment horizontal="center"/>
    </xf>
    <xf numFmtId="0" fontId="0" fillId="0" borderId="7" xfId="0" applyBorder="1" applyAlignment="1">
      <alignment horizontal="center"/>
    </xf>
    <xf numFmtId="0" fontId="0" fillId="0" borderId="4" xfId="0" applyBorder="1" applyAlignment="1">
      <alignment horizontal="center"/>
    </xf>
  </cellXfs>
  <cellStyles count="31">
    <cellStyle name="Besuchter Hyperlink" xfId="3" builtinId="9" hidden="1"/>
    <cellStyle name="Besuchter Hyperlink" xfId="5" builtinId="9" hidden="1"/>
    <cellStyle name="Besuchter Hyperlink" xfId="7" builtinId="9" hidden="1"/>
    <cellStyle name="Besuchter Hyperlink" xfId="9" builtinId="9" hidden="1"/>
    <cellStyle name="Besuchter Hyperlink" xfId="11" builtinId="9" hidden="1"/>
    <cellStyle name="Besuchter Hyperlink" xfId="13" builtinId="9" hidden="1"/>
    <cellStyle name="Besuchter Hyperlink" xfId="15" builtinId="9" hidden="1"/>
    <cellStyle name="Besuchter Hyperlink" xfId="17" builtinId="9" hidden="1"/>
    <cellStyle name="Besuchter Hyperlink" xfId="19" builtinId="9" hidden="1"/>
    <cellStyle name="Besuchter Hyperlink" xfId="21" builtinId="9" hidden="1"/>
    <cellStyle name="Besuchter Hyperlink" xfId="23" builtinId="9" hidden="1"/>
    <cellStyle name="Besuchter Hyperlink" xfId="25" builtinId="9" hidden="1"/>
    <cellStyle name="Besuchter Hyperlink" xfId="27" builtinId="9" hidden="1"/>
    <cellStyle name="Besuchter Hyperlink" xfId="29" builtinId="9" hidden="1"/>
    <cellStyle name="Link" xfId="2" builtinId="8" hidden="1"/>
    <cellStyle name="Link" xfId="4" builtinId="8" hidden="1"/>
    <cellStyle name="Link" xfId="6" builtinId="8" hidden="1"/>
    <cellStyle name="Link" xfId="8" builtinId="8" hidden="1"/>
    <cellStyle name="Link" xfId="10" builtinId="8" hidden="1"/>
    <cellStyle name="Link" xfId="12" builtinId="8" hidden="1"/>
    <cellStyle name="Link" xfId="14" builtinId="8" hidden="1"/>
    <cellStyle name="Link" xfId="16" builtinId="8" hidden="1"/>
    <cellStyle name="Link" xfId="18" builtinId="8" hidden="1"/>
    <cellStyle name="Link" xfId="20" builtinId="8" hidden="1"/>
    <cellStyle name="Link" xfId="22" builtinId="8" hidden="1"/>
    <cellStyle name="Link" xfId="24" builtinId="8" hidden="1"/>
    <cellStyle name="Link" xfId="26" builtinId="8" hidden="1"/>
    <cellStyle name="Link" xfId="28" builtinId="8" hidden="1"/>
    <cellStyle name="Prozent" xfId="30" builtinId="5"/>
    <cellStyle name="Standard" xfId="0" builtinId="0"/>
    <cellStyle name="Standard 3" xfId="1"/>
  </cellStyles>
  <dxfs count="3">
    <dxf>
      <font>
        <condense val="0"/>
        <extend val="0"/>
        <color indexed="13"/>
      </font>
      <fill>
        <patternFill>
          <bgColor indexed="13"/>
        </patternFill>
      </fill>
    </dxf>
    <dxf>
      <font>
        <condense val="0"/>
        <extend val="0"/>
        <color indexed="10"/>
      </font>
      <fill>
        <patternFill>
          <bgColor indexed="10"/>
        </patternFill>
      </fill>
    </dxf>
    <dxf>
      <font>
        <color rgb="FF92D050"/>
      </font>
      <fill>
        <patternFill>
          <bgColor rgb="FF92D050"/>
        </patternFill>
      </fill>
    </dxf>
  </dxfs>
  <tableStyles count="0" defaultTableStyle="TableStyleMedium2" defaultPivotStyle="PivotStyleLight16"/>
  <colors>
    <mruColors>
      <color rgb="FFCCFFCC"/>
      <color rgb="FFCCFF99"/>
      <color rgb="FF00CC00"/>
      <color rgb="FF99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7.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9526</xdr:colOff>
      <xdr:row>55</xdr:row>
      <xdr:rowOff>9527</xdr:rowOff>
    </xdr:from>
    <xdr:to>
      <xdr:col>10</xdr:col>
      <xdr:colOff>10584</xdr:colOff>
      <xdr:row>58</xdr:row>
      <xdr:rowOff>0</xdr:rowOff>
    </xdr:to>
    <xdr:cxnSp macro="">
      <xdr:nvCxnSpPr>
        <xdr:cNvPr id="4" name="Gerade Verbindung 3"/>
        <xdr:cNvCxnSpPr/>
      </xdr:nvCxnSpPr>
      <xdr:spPr>
        <a:xfrm flipH="1" flipV="1">
          <a:off x="9526" y="9238194"/>
          <a:ext cx="2488141" cy="65722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33</xdr:col>
      <xdr:colOff>30846</xdr:colOff>
      <xdr:row>0</xdr:row>
      <xdr:rowOff>120650</xdr:rowOff>
    </xdr:from>
    <xdr:to>
      <xdr:col>35</xdr:col>
      <xdr:colOff>214542</xdr:colOff>
      <xdr:row>1</xdr:row>
      <xdr:rowOff>149225</xdr:rowOff>
    </xdr:to>
    <xdr:sp macro="" textlink="">
      <xdr:nvSpPr>
        <xdr:cNvPr id="2" name="Obousměrná vodorovná šipka 1"/>
        <xdr:cNvSpPr/>
      </xdr:nvSpPr>
      <xdr:spPr>
        <a:xfrm>
          <a:off x="7365096" y="120650"/>
          <a:ext cx="628196" cy="187325"/>
        </a:xfrm>
        <a:prstGeom prst="leftRightArrow">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cs-CZ"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114693\AppData\Local\Microsoft\Windows\Temporary%20Internet%20Files\Content.Outlook\BCV91CBW\PPA_PPF%20_2012_Template_Suppliers_04-2016-TEST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ules for PPA"/>
      <sheetName val="Cover"/>
      <sheetName val="Content"/>
      <sheetName val="Product"/>
      <sheetName val="Process"/>
      <sheetName val="Softwareprüfbericht Blatt1"/>
      <sheetName val="Softwareprüfbericht Blatt2"/>
      <sheetName val="Softwareprüfbericht Blatt3"/>
      <sheetName val="Anlage 7"/>
      <sheetName val="P-FMEA"/>
      <sheetName val="Process Capability"/>
      <sheetName val="Measurement Equipment"/>
      <sheetName val="Tooling List"/>
      <sheetName val="Capacity Confirmation"/>
      <sheetName val="Self-Assessement Product"/>
      <sheetName val="Self-Assessement Process"/>
      <sheetName val="Part History"/>
      <sheetName val="PPAP Status Sub-Suppliers"/>
      <sheetName val="Packaging"/>
      <sheetName val="Translations"/>
    </sheetNames>
    <sheetDataSet>
      <sheetData sheetId="0" refreshError="1"/>
      <sheetData sheetId="1"/>
      <sheetData sheetId="2">
        <row r="120">
          <cell r="N120" t="str">
            <v>Unterschrift:</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11.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12.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vmlDrawing" Target="../drawings/vmlDrawing13.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4.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vmlDrawing" Target="../drawings/vmlDrawing15.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vmlDrawing" Target="../drawings/vmlDrawing16.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2.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pageSetUpPr fitToPage="1"/>
  </sheetPr>
  <dimension ref="B1:M42"/>
  <sheetViews>
    <sheetView tabSelected="1" workbookViewId="0">
      <selection activeCell="C44" sqref="C44"/>
    </sheetView>
  </sheetViews>
  <sheetFormatPr baseColWidth="10" defaultRowHeight="12.75"/>
  <cols>
    <col min="1" max="1" width="2.42578125" customWidth="1"/>
  </cols>
  <sheetData>
    <row r="1" spans="2:13" ht="13.5" thickBot="1"/>
    <row r="2" spans="2:13">
      <c r="B2" s="677" t="str">
        <f>VLOOKUP("mainrulesppaelaboration",Translations!$A:$T,MATCH(Cover!DR19,Translations!A2:P2,0),0)</f>
        <v>Important rules to be considered for the PPA elaboration:</v>
      </c>
      <c r="C2" s="678"/>
      <c r="D2" s="678"/>
      <c r="E2" s="678"/>
      <c r="F2" s="678"/>
      <c r="G2" s="678"/>
      <c r="H2" s="678"/>
      <c r="I2" s="678"/>
      <c r="J2" s="678"/>
      <c r="K2" s="678"/>
      <c r="L2" s="678"/>
      <c r="M2" s="679"/>
    </row>
    <row r="3" spans="2:13">
      <c r="B3" s="680"/>
      <c r="C3" s="681"/>
      <c r="D3" s="681"/>
      <c r="E3" s="681"/>
      <c r="F3" s="681"/>
      <c r="G3" s="681"/>
      <c r="H3" s="681"/>
      <c r="I3" s="681"/>
      <c r="J3" s="681"/>
      <c r="K3" s="681"/>
      <c r="L3" s="681"/>
      <c r="M3" s="682"/>
    </row>
    <row r="4" spans="2:13" ht="13.5" thickBot="1">
      <c r="B4" s="683"/>
      <c r="C4" s="684"/>
      <c r="D4" s="684"/>
      <c r="E4" s="684"/>
      <c r="F4" s="684"/>
      <c r="G4" s="684"/>
      <c r="H4" s="684"/>
      <c r="I4" s="684"/>
      <c r="J4" s="684"/>
      <c r="K4" s="684"/>
      <c r="L4" s="684"/>
      <c r="M4" s="685"/>
    </row>
    <row r="5" spans="2:13">
      <c r="B5" s="686" t="str">
        <f>VLOOKUP("rulesforppa",Translations!$A:$T,MATCH(Cover!DR19,Translations!A2:P2,0),0)</f>
        <v xml:space="preserve">
- Initial Sample part must be produced with the final serial process under serial process conditions. All
  deviations herefrom need to be communicated to MANN+HUMMEL.
- Alternative PPA templates can be used if equivalent to these sheets.
- Deviations from requirements (e.g. dimensional, material) have to be described in a Deviation Permit
  and submitted to the contact person from MANN+HUMMEL prior to sending the PPA to
  MANN+HUMMEL. Actions have to be defined accordingly.
- All sheets have to be filled and the same sequence for the documentation as described in sheet
  "Content" shall be kept.
- The documents to be submited to MANN+HUMMEL are defined in the corresponding PRFPP (see
  Submittion Level)
- Detailed information regarding PPA procedure can be found in VDA Vol. 2.
- Additional documents to be submitted with this PPA package: see relevant PRFPP for your product.</v>
      </c>
      <c r="C5" s="687"/>
      <c r="D5" s="687"/>
      <c r="E5" s="687"/>
      <c r="F5" s="687"/>
      <c r="G5" s="687"/>
      <c r="H5" s="687"/>
      <c r="I5" s="687"/>
      <c r="J5" s="687"/>
      <c r="K5" s="687"/>
      <c r="L5" s="687"/>
      <c r="M5" s="688"/>
    </row>
    <row r="6" spans="2:13">
      <c r="B6" s="689"/>
      <c r="C6" s="690"/>
      <c r="D6" s="690"/>
      <c r="E6" s="690"/>
      <c r="F6" s="690"/>
      <c r="G6" s="690"/>
      <c r="H6" s="690"/>
      <c r="I6" s="690"/>
      <c r="J6" s="690"/>
      <c r="K6" s="690"/>
      <c r="L6" s="690"/>
      <c r="M6" s="691"/>
    </row>
    <row r="7" spans="2:13">
      <c r="B7" s="689"/>
      <c r="C7" s="690"/>
      <c r="D7" s="690"/>
      <c r="E7" s="690"/>
      <c r="F7" s="690"/>
      <c r="G7" s="690"/>
      <c r="H7" s="690"/>
      <c r="I7" s="690"/>
      <c r="J7" s="690"/>
      <c r="K7" s="690"/>
      <c r="L7" s="690"/>
      <c r="M7" s="691"/>
    </row>
    <row r="8" spans="2:13">
      <c r="B8" s="689"/>
      <c r="C8" s="690"/>
      <c r="D8" s="690"/>
      <c r="E8" s="690"/>
      <c r="F8" s="690"/>
      <c r="G8" s="690"/>
      <c r="H8" s="690"/>
      <c r="I8" s="690"/>
      <c r="J8" s="690"/>
      <c r="K8" s="690"/>
      <c r="L8" s="690"/>
      <c r="M8" s="691"/>
    </row>
    <row r="9" spans="2:13">
      <c r="B9" s="689"/>
      <c r="C9" s="690"/>
      <c r="D9" s="690"/>
      <c r="E9" s="690"/>
      <c r="F9" s="690"/>
      <c r="G9" s="690"/>
      <c r="H9" s="690"/>
      <c r="I9" s="690"/>
      <c r="J9" s="690"/>
      <c r="K9" s="690"/>
      <c r="L9" s="690"/>
      <c r="M9" s="691"/>
    </row>
    <row r="10" spans="2:13">
      <c r="B10" s="689"/>
      <c r="C10" s="690"/>
      <c r="D10" s="690"/>
      <c r="E10" s="690"/>
      <c r="F10" s="690"/>
      <c r="G10" s="690"/>
      <c r="H10" s="690"/>
      <c r="I10" s="690"/>
      <c r="J10" s="690"/>
      <c r="K10" s="690"/>
      <c r="L10" s="690"/>
      <c r="M10" s="691"/>
    </row>
    <row r="11" spans="2:13">
      <c r="B11" s="689"/>
      <c r="C11" s="690"/>
      <c r="D11" s="690"/>
      <c r="E11" s="690"/>
      <c r="F11" s="690"/>
      <c r="G11" s="690"/>
      <c r="H11" s="690"/>
      <c r="I11" s="690"/>
      <c r="J11" s="690"/>
      <c r="K11" s="690"/>
      <c r="L11" s="690"/>
      <c r="M11" s="691"/>
    </row>
    <row r="12" spans="2:13">
      <c r="B12" s="689"/>
      <c r="C12" s="690"/>
      <c r="D12" s="690"/>
      <c r="E12" s="690"/>
      <c r="F12" s="690"/>
      <c r="G12" s="690"/>
      <c r="H12" s="690"/>
      <c r="I12" s="690"/>
      <c r="J12" s="690"/>
      <c r="K12" s="690"/>
      <c r="L12" s="690"/>
      <c r="M12" s="691"/>
    </row>
    <row r="13" spans="2:13">
      <c r="B13" s="689"/>
      <c r="C13" s="690"/>
      <c r="D13" s="690"/>
      <c r="E13" s="690"/>
      <c r="F13" s="690"/>
      <c r="G13" s="690"/>
      <c r="H13" s="690"/>
      <c r="I13" s="690"/>
      <c r="J13" s="690"/>
      <c r="K13" s="690"/>
      <c r="L13" s="690"/>
      <c r="M13" s="691"/>
    </row>
    <row r="14" spans="2:13">
      <c r="B14" s="689"/>
      <c r="C14" s="690"/>
      <c r="D14" s="690"/>
      <c r="E14" s="690"/>
      <c r="F14" s="690"/>
      <c r="G14" s="690"/>
      <c r="H14" s="690"/>
      <c r="I14" s="690"/>
      <c r="J14" s="690"/>
      <c r="K14" s="690"/>
      <c r="L14" s="690"/>
      <c r="M14" s="691"/>
    </row>
    <row r="15" spans="2:13">
      <c r="B15" s="689"/>
      <c r="C15" s="690"/>
      <c r="D15" s="690"/>
      <c r="E15" s="690"/>
      <c r="F15" s="690"/>
      <c r="G15" s="690"/>
      <c r="H15" s="690"/>
      <c r="I15" s="690"/>
      <c r="J15" s="690"/>
      <c r="K15" s="690"/>
      <c r="L15" s="690"/>
      <c r="M15" s="691"/>
    </row>
    <row r="16" spans="2:13">
      <c r="B16" s="689"/>
      <c r="C16" s="690"/>
      <c r="D16" s="690"/>
      <c r="E16" s="690"/>
      <c r="F16" s="690"/>
      <c r="G16" s="690"/>
      <c r="H16" s="690"/>
      <c r="I16" s="690"/>
      <c r="J16" s="690"/>
      <c r="K16" s="690"/>
      <c r="L16" s="690"/>
      <c r="M16" s="691"/>
    </row>
    <row r="17" spans="2:13">
      <c r="B17" s="689"/>
      <c r="C17" s="690"/>
      <c r="D17" s="690"/>
      <c r="E17" s="690"/>
      <c r="F17" s="690"/>
      <c r="G17" s="690"/>
      <c r="H17" s="690"/>
      <c r="I17" s="690"/>
      <c r="J17" s="690"/>
      <c r="K17" s="690"/>
      <c r="L17" s="690"/>
      <c r="M17" s="691"/>
    </row>
    <row r="18" spans="2:13">
      <c r="B18" s="689"/>
      <c r="C18" s="690"/>
      <c r="D18" s="690"/>
      <c r="E18" s="690"/>
      <c r="F18" s="690"/>
      <c r="G18" s="690"/>
      <c r="H18" s="690"/>
      <c r="I18" s="690"/>
      <c r="J18" s="690"/>
      <c r="K18" s="690"/>
      <c r="L18" s="690"/>
      <c r="M18" s="691"/>
    </row>
    <row r="19" spans="2:13">
      <c r="B19" s="689"/>
      <c r="C19" s="690"/>
      <c r="D19" s="690"/>
      <c r="E19" s="690"/>
      <c r="F19" s="690"/>
      <c r="G19" s="690"/>
      <c r="H19" s="690"/>
      <c r="I19" s="690"/>
      <c r="J19" s="690"/>
      <c r="K19" s="690"/>
      <c r="L19" s="690"/>
      <c r="M19" s="691"/>
    </row>
    <row r="20" spans="2:13">
      <c r="B20" s="689"/>
      <c r="C20" s="690"/>
      <c r="D20" s="690"/>
      <c r="E20" s="690"/>
      <c r="F20" s="690"/>
      <c r="G20" s="690"/>
      <c r="H20" s="690"/>
      <c r="I20" s="690"/>
      <c r="J20" s="690"/>
      <c r="K20" s="690"/>
      <c r="L20" s="690"/>
      <c r="M20" s="691"/>
    </row>
    <row r="21" spans="2:13">
      <c r="B21" s="689"/>
      <c r="C21" s="690"/>
      <c r="D21" s="690"/>
      <c r="E21" s="690"/>
      <c r="F21" s="690"/>
      <c r="G21" s="690"/>
      <c r="H21" s="690"/>
      <c r="I21" s="690"/>
      <c r="J21" s="690"/>
      <c r="K21" s="690"/>
      <c r="L21" s="690"/>
      <c r="M21" s="691"/>
    </row>
    <row r="22" spans="2:13">
      <c r="B22" s="689"/>
      <c r="C22" s="690"/>
      <c r="D22" s="690"/>
      <c r="E22" s="690"/>
      <c r="F22" s="690"/>
      <c r="G22" s="690"/>
      <c r="H22" s="690"/>
      <c r="I22" s="690"/>
      <c r="J22" s="690"/>
      <c r="K22" s="690"/>
      <c r="L22" s="690"/>
      <c r="M22" s="691"/>
    </row>
    <row r="23" spans="2:13">
      <c r="B23" s="689"/>
      <c r="C23" s="690"/>
      <c r="D23" s="690"/>
      <c r="E23" s="690"/>
      <c r="F23" s="690"/>
      <c r="G23" s="690"/>
      <c r="H23" s="690"/>
      <c r="I23" s="690"/>
      <c r="J23" s="690"/>
      <c r="K23" s="690"/>
      <c r="L23" s="690"/>
      <c r="M23" s="691"/>
    </row>
    <row r="24" spans="2:13">
      <c r="B24" s="689"/>
      <c r="C24" s="690"/>
      <c r="D24" s="690"/>
      <c r="E24" s="690"/>
      <c r="F24" s="690"/>
      <c r="G24" s="690"/>
      <c r="H24" s="690"/>
      <c r="I24" s="690"/>
      <c r="J24" s="690"/>
      <c r="K24" s="690"/>
      <c r="L24" s="690"/>
      <c r="M24" s="691"/>
    </row>
    <row r="25" spans="2:13">
      <c r="B25" s="689"/>
      <c r="C25" s="690"/>
      <c r="D25" s="690"/>
      <c r="E25" s="690"/>
      <c r="F25" s="690"/>
      <c r="G25" s="690"/>
      <c r="H25" s="690"/>
      <c r="I25" s="690"/>
      <c r="J25" s="690"/>
      <c r="K25" s="690"/>
      <c r="L25" s="690"/>
      <c r="M25" s="691"/>
    </row>
    <row r="26" spans="2:13">
      <c r="B26" s="689"/>
      <c r="C26" s="690"/>
      <c r="D26" s="690"/>
      <c r="E26" s="690"/>
      <c r="F26" s="690"/>
      <c r="G26" s="690"/>
      <c r="H26" s="690"/>
      <c r="I26" s="690"/>
      <c r="J26" s="690"/>
      <c r="K26" s="690"/>
      <c r="L26" s="690"/>
      <c r="M26" s="691"/>
    </row>
    <row r="27" spans="2:13">
      <c r="B27" s="689"/>
      <c r="C27" s="690"/>
      <c r="D27" s="690"/>
      <c r="E27" s="690"/>
      <c r="F27" s="690"/>
      <c r="G27" s="690"/>
      <c r="H27" s="690"/>
      <c r="I27" s="690"/>
      <c r="J27" s="690"/>
      <c r="K27" s="690"/>
      <c r="L27" s="690"/>
      <c r="M27" s="691"/>
    </row>
    <row r="28" spans="2:13">
      <c r="B28" s="689"/>
      <c r="C28" s="690"/>
      <c r="D28" s="690"/>
      <c r="E28" s="690"/>
      <c r="F28" s="690"/>
      <c r="G28" s="690"/>
      <c r="H28" s="690"/>
      <c r="I28" s="690"/>
      <c r="J28" s="690"/>
      <c r="K28" s="690"/>
      <c r="L28" s="690"/>
      <c r="M28" s="691"/>
    </row>
    <row r="29" spans="2:13">
      <c r="B29" s="689"/>
      <c r="C29" s="690"/>
      <c r="D29" s="690"/>
      <c r="E29" s="690"/>
      <c r="F29" s="690"/>
      <c r="G29" s="690"/>
      <c r="H29" s="690"/>
      <c r="I29" s="690"/>
      <c r="J29" s="690"/>
      <c r="K29" s="690"/>
      <c r="L29" s="690"/>
      <c r="M29" s="691"/>
    </row>
    <row r="30" spans="2:13">
      <c r="B30" s="689"/>
      <c r="C30" s="690"/>
      <c r="D30" s="690"/>
      <c r="E30" s="690"/>
      <c r="F30" s="690"/>
      <c r="G30" s="690"/>
      <c r="H30" s="690"/>
      <c r="I30" s="690"/>
      <c r="J30" s="690"/>
      <c r="K30" s="690"/>
      <c r="L30" s="690"/>
      <c r="M30" s="691"/>
    </row>
    <row r="31" spans="2:13">
      <c r="B31" s="689"/>
      <c r="C31" s="690"/>
      <c r="D31" s="690"/>
      <c r="E31" s="690"/>
      <c r="F31" s="690"/>
      <c r="G31" s="690"/>
      <c r="H31" s="690"/>
      <c r="I31" s="690"/>
      <c r="J31" s="690"/>
      <c r="K31" s="690"/>
      <c r="L31" s="690"/>
      <c r="M31" s="691"/>
    </row>
    <row r="32" spans="2:13">
      <c r="B32" s="689"/>
      <c r="C32" s="690"/>
      <c r="D32" s="690"/>
      <c r="E32" s="690"/>
      <c r="F32" s="690"/>
      <c r="G32" s="690"/>
      <c r="H32" s="690"/>
      <c r="I32" s="690"/>
      <c r="J32" s="690"/>
      <c r="K32" s="690"/>
      <c r="L32" s="690"/>
      <c r="M32" s="691"/>
    </row>
    <row r="33" spans="2:13">
      <c r="B33" s="689"/>
      <c r="C33" s="690"/>
      <c r="D33" s="690"/>
      <c r="E33" s="690"/>
      <c r="F33" s="690"/>
      <c r="G33" s="690"/>
      <c r="H33" s="690"/>
      <c r="I33" s="690"/>
      <c r="J33" s="690"/>
      <c r="K33" s="690"/>
      <c r="L33" s="690"/>
      <c r="M33" s="691"/>
    </row>
    <row r="34" spans="2:13">
      <c r="B34" s="689"/>
      <c r="C34" s="690"/>
      <c r="D34" s="690"/>
      <c r="E34" s="690"/>
      <c r="F34" s="690"/>
      <c r="G34" s="690"/>
      <c r="H34" s="690"/>
      <c r="I34" s="690"/>
      <c r="J34" s="690"/>
      <c r="K34" s="690"/>
      <c r="L34" s="690"/>
      <c r="M34" s="691"/>
    </row>
    <row r="35" spans="2:13">
      <c r="B35" s="689"/>
      <c r="C35" s="690"/>
      <c r="D35" s="690"/>
      <c r="E35" s="690"/>
      <c r="F35" s="690"/>
      <c r="G35" s="690"/>
      <c r="H35" s="690"/>
      <c r="I35" s="690"/>
      <c r="J35" s="690"/>
      <c r="K35" s="690"/>
      <c r="L35" s="690"/>
      <c r="M35" s="691"/>
    </row>
    <row r="36" spans="2:13">
      <c r="B36" s="689"/>
      <c r="C36" s="690"/>
      <c r="D36" s="690"/>
      <c r="E36" s="690"/>
      <c r="F36" s="690"/>
      <c r="G36" s="690"/>
      <c r="H36" s="690"/>
      <c r="I36" s="690"/>
      <c r="J36" s="690"/>
      <c r="K36" s="690"/>
      <c r="L36" s="690"/>
      <c r="M36" s="691"/>
    </row>
    <row r="37" spans="2:13">
      <c r="B37" s="689"/>
      <c r="C37" s="690"/>
      <c r="D37" s="690"/>
      <c r="E37" s="690"/>
      <c r="F37" s="690"/>
      <c r="G37" s="690"/>
      <c r="H37" s="690"/>
      <c r="I37" s="690"/>
      <c r="J37" s="690"/>
      <c r="K37" s="690"/>
      <c r="L37" s="690"/>
      <c r="M37" s="691"/>
    </row>
    <row r="38" spans="2:13">
      <c r="B38" s="689"/>
      <c r="C38" s="690"/>
      <c r="D38" s="690"/>
      <c r="E38" s="690"/>
      <c r="F38" s="690"/>
      <c r="G38" s="690"/>
      <c r="H38" s="690"/>
      <c r="I38" s="690"/>
      <c r="J38" s="690"/>
      <c r="K38" s="690"/>
      <c r="L38" s="690"/>
      <c r="M38" s="691"/>
    </row>
    <row r="39" spans="2:13">
      <c r="B39" s="689"/>
      <c r="C39" s="690"/>
      <c r="D39" s="690"/>
      <c r="E39" s="690"/>
      <c r="F39" s="690"/>
      <c r="G39" s="690"/>
      <c r="H39" s="690"/>
      <c r="I39" s="690"/>
      <c r="J39" s="690"/>
      <c r="K39" s="690"/>
      <c r="L39" s="690"/>
      <c r="M39" s="691"/>
    </row>
    <row r="40" spans="2:13">
      <c r="B40" s="689"/>
      <c r="C40" s="690"/>
      <c r="D40" s="690"/>
      <c r="E40" s="690"/>
      <c r="F40" s="690"/>
      <c r="G40" s="690"/>
      <c r="H40" s="690"/>
      <c r="I40" s="690"/>
      <c r="J40" s="690"/>
      <c r="K40" s="690"/>
      <c r="L40" s="690"/>
      <c r="M40" s="691"/>
    </row>
    <row r="41" spans="2:13">
      <c r="B41" s="689"/>
      <c r="C41" s="690"/>
      <c r="D41" s="690"/>
      <c r="E41" s="690"/>
      <c r="F41" s="690"/>
      <c r="G41" s="690"/>
      <c r="H41" s="690"/>
      <c r="I41" s="690"/>
      <c r="J41" s="690"/>
      <c r="K41" s="690"/>
      <c r="L41" s="690"/>
      <c r="M41" s="691"/>
    </row>
    <row r="42" spans="2:13" ht="13.5" thickBot="1">
      <c r="B42" s="692"/>
      <c r="C42" s="693"/>
      <c r="D42" s="693"/>
      <c r="E42" s="693"/>
      <c r="F42" s="693"/>
      <c r="G42" s="693"/>
      <c r="H42" s="693"/>
      <c r="I42" s="693"/>
      <c r="J42" s="693"/>
      <c r="K42" s="693"/>
      <c r="L42" s="693"/>
      <c r="M42" s="694"/>
    </row>
  </sheetData>
  <sheetProtection password="8A5F" sheet="1" scenarios="1" selectLockedCells="1" selectUnlockedCells="1"/>
  <mergeCells count="2">
    <mergeCell ref="B2:M4"/>
    <mergeCell ref="B5:M42"/>
  </mergeCells>
  <printOptions horizontalCentered="1"/>
  <pageMargins left="0.6692913385826772" right="0.47244094488188981" top="0.59055118110236227" bottom="0.31496062992125984" header="0.31496062992125984" footer="0.19685039370078741"/>
  <pageSetup paperSize="9" scale="98" orientation="landscape" r:id="rId1"/>
  <headerFooter>
    <oddHeader>&amp;R&amp;G</oddHeader>
    <oddFooter>&amp;LMHG-PU-F-0019&amp;CPPA-Template ; Rev.: 04/2016&amp;RJ.-U. Liedtke / AO-PU-SQ</oddFooter>
  </headerFooter>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9">
    <pageSetUpPr fitToPage="1"/>
  </sheetPr>
  <dimension ref="A3:AZ97"/>
  <sheetViews>
    <sheetView showGridLines="0" workbookViewId="0">
      <selection activeCell="P21" sqref="P21:V22"/>
    </sheetView>
  </sheetViews>
  <sheetFormatPr baseColWidth="10" defaultColWidth="9.140625" defaultRowHeight="12.75"/>
  <cols>
    <col min="1" max="52" width="3.42578125" style="624" customWidth="1"/>
    <col min="53" max="16384" width="9.140625" style="624"/>
  </cols>
  <sheetData>
    <row r="3" spans="1:52" ht="13.5" thickBot="1"/>
    <row r="4" spans="1:52" ht="15" customHeight="1">
      <c r="A4" s="1556" t="str">
        <f>VLOOKUP("ysachnummery",Translations!$A:$T,MATCH(Cover!DR19,Translations!A2:P2,0),0)</f>
        <v>Part number:</v>
      </c>
      <c r="B4" s="1557"/>
      <c r="C4" s="1557"/>
      <c r="D4" s="1557"/>
      <c r="E4" s="1557"/>
      <c r="F4" s="1557"/>
      <c r="G4" s="1557"/>
      <c r="H4" s="1557"/>
      <c r="I4" s="1557"/>
      <c r="J4" s="1557"/>
      <c r="K4" s="1557"/>
      <c r="L4" s="1557"/>
      <c r="M4" s="1557"/>
      <c r="N4" s="1557"/>
      <c r="O4" s="1557"/>
      <c r="P4" s="1558" t="str">
        <f>VLOOKUP("Softwareprüfbericht",Translations!$A:$T,MATCH(Cover!DR19,Translations!A2:P2,0),0)</f>
        <v>Software Test Report</v>
      </c>
      <c r="Q4" s="1558"/>
      <c r="R4" s="1558"/>
      <c r="S4" s="1558"/>
      <c r="T4" s="1558"/>
      <c r="U4" s="1558"/>
      <c r="V4" s="1558"/>
      <c r="W4" s="1558"/>
      <c r="X4" s="1558"/>
      <c r="Y4" s="1558"/>
      <c r="Z4" s="1558"/>
      <c r="AA4" s="1558"/>
      <c r="AB4" s="1558"/>
      <c r="AC4" s="1558"/>
      <c r="AD4" s="1558"/>
      <c r="AE4" s="1558"/>
      <c r="AF4" s="1558"/>
      <c r="AG4" s="1558"/>
      <c r="AH4" s="1558"/>
      <c r="AI4" s="1558"/>
      <c r="AJ4" s="1558"/>
      <c r="AK4" s="1558"/>
      <c r="AL4" s="1558"/>
      <c r="AM4" s="1558"/>
      <c r="AN4" s="1558"/>
      <c r="AO4" s="1558"/>
      <c r="AP4" s="1558"/>
      <c r="AQ4" s="1558"/>
      <c r="AR4" s="1558"/>
      <c r="AS4" s="1558"/>
      <c r="AT4" s="1558"/>
      <c r="AU4" s="1558"/>
      <c r="AV4" s="1558"/>
      <c r="AW4" s="1558"/>
      <c r="AX4" s="1558"/>
      <c r="AY4" s="1558"/>
      <c r="AZ4" s="1559"/>
    </row>
    <row r="5" spans="1:52" ht="15.75" customHeight="1">
      <c r="A5" s="1410"/>
      <c r="B5" s="1411"/>
      <c r="C5" s="1411"/>
      <c r="D5" s="1411"/>
      <c r="E5" s="1411"/>
      <c r="F5" s="1411"/>
      <c r="G5" s="1411"/>
      <c r="H5" s="1411"/>
      <c r="I5" s="1411"/>
      <c r="J5" s="1411"/>
      <c r="K5" s="1411"/>
      <c r="L5" s="1411"/>
      <c r="M5" s="1411"/>
      <c r="N5" s="1411"/>
      <c r="O5" s="1411"/>
      <c r="P5" s="1560"/>
      <c r="Q5" s="1560"/>
      <c r="R5" s="1560"/>
      <c r="S5" s="1560"/>
      <c r="T5" s="1560"/>
      <c r="U5" s="1560"/>
      <c r="V5" s="1560"/>
      <c r="W5" s="1560"/>
      <c r="X5" s="1560"/>
      <c r="Y5" s="1560"/>
      <c r="Z5" s="1560"/>
      <c r="AA5" s="1560"/>
      <c r="AB5" s="1560"/>
      <c r="AC5" s="1560"/>
      <c r="AD5" s="1560"/>
      <c r="AE5" s="1560"/>
      <c r="AF5" s="1560"/>
      <c r="AG5" s="1560"/>
      <c r="AH5" s="1560"/>
      <c r="AI5" s="1560"/>
      <c r="AJ5" s="1560"/>
      <c r="AK5" s="1560"/>
      <c r="AL5" s="1560"/>
      <c r="AM5" s="1560"/>
      <c r="AN5" s="1560"/>
      <c r="AO5" s="1560"/>
      <c r="AP5" s="1560"/>
      <c r="AQ5" s="1560"/>
      <c r="AR5" s="1560"/>
      <c r="AS5" s="1560"/>
      <c r="AT5" s="1560"/>
      <c r="AU5" s="1560"/>
      <c r="AV5" s="1560"/>
      <c r="AW5" s="1560"/>
      <c r="AX5" s="1560"/>
      <c r="AY5" s="1560"/>
      <c r="AZ5" s="1561"/>
    </row>
    <row r="6" spans="1:52" ht="15.75" customHeight="1">
      <c r="A6" s="1412"/>
      <c r="B6" s="1413"/>
      <c r="C6" s="1413"/>
      <c r="D6" s="1413"/>
      <c r="E6" s="1413"/>
      <c r="F6" s="1413"/>
      <c r="G6" s="1413"/>
      <c r="H6" s="1413"/>
      <c r="I6" s="1413"/>
      <c r="J6" s="1413"/>
      <c r="K6" s="1413"/>
      <c r="L6" s="1413"/>
      <c r="M6" s="1413"/>
      <c r="N6" s="1413"/>
      <c r="O6" s="1413"/>
      <c r="P6" s="1560"/>
      <c r="Q6" s="1560"/>
      <c r="R6" s="1560"/>
      <c r="S6" s="1560"/>
      <c r="T6" s="1560"/>
      <c r="U6" s="1560"/>
      <c r="V6" s="1560"/>
      <c r="W6" s="1560"/>
      <c r="X6" s="1560"/>
      <c r="Y6" s="1560"/>
      <c r="Z6" s="1560"/>
      <c r="AA6" s="1560"/>
      <c r="AB6" s="1560"/>
      <c r="AC6" s="1560"/>
      <c r="AD6" s="1560"/>
      <c r="AE6" s="1560"/>
      <c r="AF6" s="1560"/>
      <c r="AG6" s="1560"/>
      <c r="AH6" s="1560"/>
      <c r="AI6" s="1560"/>
      <c r="AJ6" s="1560"/>
      <c r="AK6" s="1560"/>
      <c r="AL6" s="1560"/>
      <c r="AM6" s="1560"/>
      <c r="AN6" s="1560"/>
      <c r="AO6" s="1560"/>
      <c r="AP6" s="1560"/>
      <c r="AQ6" s="1560"/>
      <c r="AR6" s="1560"/>
      <c r="AS6" s="1560"/>
      <c r="AT6" s="1560"/>
      <c r="AU6" s="1560"/>
      <c r="AV6" s="1560"/>
      <c r="AW6" s="1560"/>
      <c r="AX6" s="1560"/>
      <c r="AY6" s="1560"/>
      <c r="AZ6" s="1561"/>
    </row>
    <row r="7" spans="1:52" ht="15.75" customHeight="1">
      <c r="A7" s="1412"/>
      <c r="B7" s="1413"/>
      <c r="C7" s="1413"/>
      <c r="D7" s="1413"/>
      <c r="E7" s="1413"/>
      <c r="F7" s="1413"/>
      <c r="G7" s="1413"/>
      <c r="H7" s="1413"/>
      <c r="I7" s="1413"/>
      <c r="J7" s="1413"/>
      <c r="K7" s="1413"/>
      <c r="L7" s="1413"/>
      <c r="M7" s="1413"/>
      <c r="N7" s="1413"/>
      <c r="O7" s="1413"/>
      <c r="P7" s="1560"/>
      <c r="Q7" s="1560"/>
      <c r="R7" s="1560"/>
      <c r="S7" s="1560"/>
      <c r="T7" s="1560"/>
      <c r="U7" s="1560"/>
      <c r="V7" s="1560"/>
      <c r="W7" s="1560"/>
      <c r="X7" s="1560"/>
      <c r="Y7" s="1560"/>
      <c r="Z7" s="1560"/>
      <c r="AA7" s="1560"/>
      <c r="AB7" s="1560"/>
      <c r="AC7" s="1560"/>
      <c r="AD7" s="1560"/>
      <c r="AE7" s="1560"/>
      <c r="AF7" s="1560"/>
      <c r="AG7" s="1560"/>
      <c r="AH7" s="1560"/>
      <c r="AI7" s="1560"/>
      <c r="AJ7" s="1560"/>
      <c r="AK7" s="1560"/>
      <c r="AL7" s="1560"/>
      <c r="AM7" s="1560"/>
      <c r="AN7" s="1560"/>
      <c r="AO7" s="1560"/>
      <c r="AP7" s="1560"/>
      <c r="AQ7" s="1560"/>
      <c r="AR7" s="1560"/>
      <c r="AS7" s="1560"/>
      <c r="AT7" s="1560"/>
      <c r="AU7" s="1560"/>
      <c r="AV7" s="1560"/>
      <c r="AW7" s="1560"/>
      <c r="AX7" s="1560"/>
      <c r="AY7" s="1560"/>
      <c r="AZ7" s="1561"/>
    </row>
    <row r="8" spans="1:52" ht="15.75" customHeight="1">
      <c r="A8" s="1412"/>
      <c r="B8" s="1413"/>
      <c r="C8" s="1413"/>
      <c r="D8" s="1413"/>
      <c r="E8" s="1413"/>
      <c r="F8" s="1413"/>
      <c r="G8" s="1413"/>
      <c r="H8" s="1413"/>
      <c r="I8" s="1413"/>
      <c r="J8" s="1413"/>
      <c r="K8" s="1413"/>
      <c r="L8" s="1413"/>
      <c r="M8" s="1413"/>
      <c r="N8" s="1413"/>
      <c r="O8" s="1413"/>
      <c r="P8" s="1562"/>
      <c r="Q8" s="1562"/>
      <c r="R8" s="1562"/>
      <c r="S8" s="1562"/>
      <c r="T8" s="1562"/>
      <c r="U8" s="1562"/>
      <c r="V8" s="1562"/>
      <c r="W8" s="1562"/>
      <c r="X8" s="1562"/>
      <c r="Y8" s="1562"/>
      <c r="Z8" s="1562"/>
      <c r="AA8" s="1562"/>
      <c r="AB8" s="1562"/>
      <c r="AC8" s="1562"/>
      <c r="AD8" s="1562"/>
      <c r="AE8" s="1562"/>
      <c r="AF8" s="1562"/>
      <c r="AG8" s="1562"/>
      <c r="AH8" s="1562"/>
      <c r="AI8" s="1562"/>
      <c r="AJ8" s="1562"/>
      <c r="AK8" s="1562"/>
      <c r="AL8" s="1562"/>
      <c r="AM8" s="1562"/>
      <c r="AN8" s="1562"/>
      <c r="AO8" s="1562"/>
      <c r="AP8" s="1562"/>
      <c r="AQ8" s="1562"/>
      <c r="AR8" s="1562"/>
      <c r="AS8" s="1562"/>
      <c r="AT8" s="1562"/>
      <c r="AU8" s="1562"/>
      <c r="AV8" s="1562"/>
      <c r="AW8" s="1562"/>
      <c r="AX8" s="1562"/>
      <c r="AY8" s="1562"/>
      <c r="AZ8" s="1563"/>
    </row>
    <row r="9" spans="1:52" ht="15">
      <c r="A9" s="1421" t="s">
        <v>108</v>
      </c>
      <c r="B9" s="1422"/>
      <c r="C9" s="1422"/>
      <c r="D9" s="1422"/>
      <c r="E9" s="1422"/>
      <c r="F9" s="1422"/>
      <c r="G9" s="1422"/>
      <c r="H9" s="1422"/>
      <c r="I9" s="1422"/>
      <c r="J9" s="1422"/>
      <c r="K9" s="1422"/>
      <c r="L9" s="1422"/>
      <c r="M9" s="1422"/>
      <c r="N9" s="1422"/>
      <c r="O9" s="1422"/>
      <c r="P9" s="1564" t="str">
        <f>VLOOKUP("anlage zum ppfb",Translations!$A:$T,MATCH(Cover!DR19,Translations!A2:P2,0),0)</f>
        <v>Addendum to PPAR</v>
      </c>
      <c r="Q9" s="1564"/>
      <c r="R9" s="1564"/>
      <c r="S9" s="1564"/>
      <c r="T9" s="1564"/>
      <c r="U9" s="1564"/>
      <c r="V9" s="1564"/>
      <c r="W9" s="1564"/>
      <c r="X9" s="1564"/>
      <c r="Y9" s="1564"/>
      <c r="Z9" s="1564"/>
      <c r="AA9" s="1564"/>
      <c r="AB9" s="1564"/>
      <c r="AC9" s="1564"/>
      <c r="AD9" s="1564"/>
      <c r="AE9" s="1564"/>
      <c r="AF9" s="1564"/>
      <c r="AG9" s="1564"/>
      <c r="AH9" s="1564"/>
      <c r="AI9" s="1564"/>
      <c r="AJ9" s="1564"/>
      <c r="AK9" s="1564"/>
      <c r="AL9" s="1564"/>
      <c r="AM9" s="1564"/>
      <c r="AN9" s="1564"/>
      <c r="AO9" s="1564"/>
      <c r="AP9" s="1564"/>
      <c r="AQ9" s="1564"/>
      <c r="AR9" s="1564"/>
      <c r="AS9" s="1564"/>
      <c r="AT9" s="1564"/>
      <c r="AU9" s="1564"/>
      <c r="AV9" s="1564"/>
      <c r="AW9" s="1564"/>
      <c r="AX9" s="1564"/>
      <c r="AY9" s="1564"/>
      <c r="AZ9" s="1565"/>
    </row>
    <row r="10" spans="1:52" ht="17.25" customHeight="1">
      <c r="A10" s="1410"/>
      <c r="B10" s="1411"/>
      <c r="C10" s="1411"/>
      <c r="D10" s="1411"/>
      <c r="E10" s="1411"/>
      <c r="F10" s="1411"/>
      <c r="G10" s="1411"/>
      <c r="H10" s="1411"/>
      <c r="I10" s="1411"/>
      <c r="J10" s="1411"/>
      <c r="K10" s="1411"/>
      <c r="L10" s="1411"/>
      <c r="M10" s="1411"/>
      <c r="N10" s="1411"/>
      <c r="O10" s="1411"/>
      <c r="P10" s="1566"/>
      <c r="Q10" s="1566"/>
      <c r="R10" s="1566"/>
      <c r="S10" s="1566"/>
      <c r="T10" s="1566"/>
      <c r="U10" s="1566"/>
      <c r="V10" s="1566"/>
      <c r="W10" s="1566"/>
      <c r="X10" s="1566"/>
      <c r="Y10" s="1566"/>
      <c r="Z10" s="1566"/>
      <c r="AA10" s="1566"/>
      <c r="AB10" s="1566"/>
      <c r="AC10" s="1566"/>
      <c r="AD10" s="1566"/>
      <c r="AE10" s="1566"/>
      <c r="AF10" s="1566"/>
      <c r="AG10" s="1566"/>
      <c r="AH10" s="1566"/>
      <c r="AI10" s="1566"/>
      <c r="AJ10" s="1566"/>
      <c r="AK10" s="1566"/>
      <c r="AL10" s="1566"/>
      <c r="AM10" s="1566"/>
      <c r="AN10" s="1566"/>
      <c r="AO10" s="1566"/>
      <c r="AP10" s="1566"/>
      <c r="AQ10" s="1566"/>
      <c r="AR10" s="1566"/>
      <c r="AS10" s="1566"/>
      <c r="AT10" s="1566"/>
      <c r="AU10" s="1566"/>
      <c r="AV10" s="1566"/>
      <c r="AW10" s="1566"/>
      <c r="AX10" s="1566"/>
      <c r="AY10" s="1566"/>
      <c r="AZ10" s="1567"/>
    </row>
    <row r="11" spans="1:52" ht="17.25" customHeight="1">
      <c r="A11" s="1412"/>
      <c r="B11" s="1413"/>
      <c r="C11" s="1413"/>
      <c r="D11" s="1413"/>
      <c r="E11" s="1413"/>
      <c r="F11" s="1413"/>
      <c r="G11" s="1413"/>
      <c r="H11" s="1413"/>
      <c r="I11" s="1413"/>
      <c r="J11" s="1413"/>
      <c r="K11" s="1413"/>
      <c r="L11" s="1413"/>
      <c r="M11" s="1413"/>
      <c r="N11" s="1413"/>
      <c r="O11" s="1413"/>
      <c r="P11" s="1566"/>
      <c r="Q11" s="1566"/>
      <c r="R11" s="1566"/>
      <c r="S11" s="1566"/>
      <c r="T11" s="1566"/>
      <c r="U11" s="1566"/>
      <c r="V11" s="1566"/>
      <c r="W11" s="1566"/>
      <c r="X11" s="1566"/>
      <c r="Y11" s="1566"/>
      <c r="Z11" s="1566"/>
      <c r="AA11" s="1566"/>
      <c r="AB11" s="1566"/>
      <c r="AC11" s="1566"/>
      <c r="AD11" s="1566"/>
      <c r="AE11" s="1566"/>
      <c r="AF11" s="1566"/>
      <c r="AG11" s="1566"/>
      <c r="AH11" s="1566"/>
      <c r="AI11" s="1566"/>
      <c r="AJ11" s="1566"/>
      <c r="AK11" s="1566"/>
      <c r="AL11" s="1566"/>
      <c r="AM11" s="1566"/>
      <c r="AN11" s="1566"/>
      <c r="AO11" s="1566"/>
      <c r="AP11" s="1566"/>
      <c r="AQ11" s="1566"/>
      <c r="AR11" s="1566"/>
      <c r="AS11" s="1566"/>
      <c r="AT11" s="1566"/>
      <c r="AU11" s="1566"/>
      <c r="AV11" s="1566"/>
      <c r="AW11" s="1566"/>
      <c r="AX11" s="1566"/>
      <c r="AY11" s="1566"/>
      <c r="AZ11" s="1567"/>
    </row>
    <row r="12" spans="1:52" ht="17.25" customHeight="1" thickBot="1">
      <c r="A12" s="1452"/>
      <c r="B12" s="1453"/>
      <c r="C12" s="1453"/>
      <c r="D12" s="1453"/>
      <c r="E12" s="1453"/>
      <c r="F12" s="1453"/>
      <c r="G12" s="1453"/>
      <c r="H12" s="1453"/>
      <c r="I12" s="1453"/>
      <c r="J12" s="1453"/>
      <c r="K12" s="1453"/>
      <c r="L12" s="1453"/>
      <c r="M12" s="1453"/>
      <c r="N12" s="1453"/>
      <c r="O12" s="1453"/>
      <c r="P12" s="1568"/>
      <c r="Q12" s="1568"/>
      <c r="R12" s="1568"/>
      <c r="S12" s="1568"/>
      <c r="T12" s="1568"/>
      <c r="U12" s="1568"/>
      <c r="V12" s="1568"/>
      <c r="W12" s="1568"/>
      <c r="X12" s="1568"/>
      <c r="Y12" s="1568"/>
      <c r="Z12" s="1568"/>
      <c r="AA12" s="1568"/>
      <c r="AB12" s="1568"/>
      <c r="AC12" s="1568"/>
      <c r="AD12" s="1568"/>
      <c r="AE12" s="1568"/>
      <c r="AF12" s="1568"/>
      <c r="AG12" s="1568"/>
      <c r="AH12" s="1568"/>
      <c r="AI12" s="1568"/>
      <c r="AJ12" s="1568"/>
      <c r="AK12" s="1568"/>
      <c r="AL12" s="1568"/>
      <c r="AM12" s="1568"/>
      <c r="AN12" s="1568"/>
      <c r="AO12" s="1568"/>
      <c r="AP12" s="1568"/>
      <c r="AQ12" s="1568"/>
      <c r="AR12" s="1568"/>
      <c r="AS12" s="1568"/>
      <c r="AT12" s="1568"/>
      <c r="AU12" s="1568"/>
      <c r="AV12" s="1568"/>
      <c r="AW12" s="1568"/>
      <c r="AX12" s="1568"/>
      <c r="AY12" s="1568"/>
      <c r="AZ12" s="1569"/>
    </row>
    <row r="13" spans="1:52">
      <c r="A13" s="1517" t="str">
        <f>VLOOKUP("Blatt 3: Bestätigung von Softwaretests",Translations!$A:$T,MATCH(Cover!DR19,Translations!A2:P2,0),0)</f>
        <v>Sheet 3: Confirmation of Software Tests</v>
      </c>
      <c r="B13" s="1518"/>
      <c r="C13" s="1518"/>
      <c r="D13" s="1518"/>
      <c r="E13" s="1518"/>
      <c r="F13" s="1518"/>
      <c r="G13" s="1518"/>
      <c r="H13" s="1518"/>
      <c r="I13" s="1518"/>
      <c r="J13" s="1518"/>
      <c r="K13" s="1518"/>
      <c r="L13" s="1518"/>
      <c r="M13" s="1518"/>
      <c r="N13" s="1518"/>
      <c r="O13" s="1518"/>
      <c r="P13" s="1518"/>
      <c r="Q13" s="1518"/>
      <c r="R13" s="1518"/>
      <c r="S13" s="1518"/>
      <c r="T13" s="1518"/>
      <c r="U13" s="1518"/>
      <c r="V13" s="1518"/>
      <c r="W13" s="1518"/>
      <c r="X13" s="1518"/>
      <c r="Y13" s="1518"/>
      <c r="Z13" s="1518"/>
      <c r="AA13" s="1518"/>
      <c r="AB13" s="1518"/>
      <c r="AC13" s="1518"/>
      <c r="AD13" s="1518"/>
      <c r="AE13" s="1518"/>
      <c r="AF13" s="1518"/>
      <c r="AG13" s="1518"/>
      <c r="AH13" s="1518"/>
      <c r="AI13" s="1518"/>
      <c r="AJ13" s="1518"/>
      <c r="AK13" s="1518"/>
      <c r="AL13" s="1518"/>
      <c r="AM13" s="1518"/>
      <c r="AN13" s="1518"/>
      <c r="AO13" s="1518"/>
      <c r="AP13" s="1518"/>
      <c r="AQ13" s="1518"/>
      <c r="AR13" s="1518"/>
      <c r="AS13" s="1518"/>
      <c r="AT13" s="1518"/>
      <c r="AU13" s="1518"/>
      <c r="AV13" s="1518"/>
      <c r="AW13" s="1518"/>
      <c r="AX13" s="1518"/>
      <c r="AY13" s="1518"/>
      <c r="AZ13" s="1519"/>
    </row>
    <row r="14" spans="1:52" ht="13.5" thickBot="1">
      <c r="A14" s="1520"/>
      <c r="B14" s="1521"/>
      <c r="C14" s="1521"/>
      <c r="D14" s="1521"/>
      <c r="E14" s="1521"/>
      <c r="F14" s="1521"/>
      <c r="G14" s="1521"/>
      <c r="H14" s="1521"/>
      <c r="I14" s="1521"/>
      <c r="J14" s="1521"/>
      <c r="K14" s="1521"/>
      <c r="L14" s="1521"/>
      <c r="M14" s="1521"/>
      <c r="N14" s="1521"/>
      <c r="O14" s="1521"/>
      <c r="P14" s="1521"/>
      <c r="Q14" s="1521"/>
      <c r="R14" s="1521"/>
      <c r="S14" s="1521"/>
      <c r="T14" s="1521"/>
      <c r="U14" s="1521"/>
      <c r="V14" s="1521"/>
      <c r="W14" s="1521"/>
      <c r="X14" s="1521"/>
      <c r="Y14" s="1521"/>
      <c r="Z14" s="1521"/>
      <c r="AA14" s="1521"/>
      <c r="AB14" s="1521"/>
      <c r="AC14" s="1521"/>
      <c r="AD14" s="1521"/>
      <c r="AE14" s="1521"/>
      <c r="AF14" s="1521"/>
      <c r="AG14" s="1521"/>
      <c r="AH14" s="1521"/>
      <c r="AI14" s="1521"/>
      <c r="AJ14" s="1521"/>
      <c r="AK14" s="1521"/>
      <c r="AL14" s="1521"/>
      <c r="AM14" s="1521"/>
      <c r="AN14" s="1521"/>
      <c r="AO14" s="1521"/>
      <c r="AP14" s="1521"/>
      <c r="AQ14" s="1521"/>
      <c r="AR14" s="1521"/>
      <c r="AS14" s="1521"/>
      <c r="AT14" s="1521"/>
      <c r="AU14" s="1521"/>
      <c r="AV14" s="1521"/>
      <c r="AW14" s="1521"/>
      <c r="AX14" s="1521"/>
      <c r="AY14" s="1521"/>
      <c r="AZ14" s="1522"/>
    </row>
    <row r="15" spans="1:52" ht="13.5" thickBot="1">
      <c r="A15" s="629"/>
      <c r="B15" s="629"/>
      <c r="C15" s="629"/>
      <c r="D15" s="629"/>
      <c r="E15" s="629"/>
      <c r="F15" s="629"/>
      <c r="G15" s="629"/>
      <c r="H15" s="629"/>
      <c r="I15" s="629"/>
      <c r="J15" s="629"/>
      <c r="K15" s="629"/>
      <c r="L15" s="629"/>
      <c r="M15" s="629"/>
      <c r="N15" s="629"/>
      <c r="O15" s="629"/>
      <c r="P15" s="629"/>
      <c r="Q15" s="629"/>
      <c r="R15" s="629"/>
      <c r="S15" s="629"/>
      <c r="T15" s="629"/>
      <c r="U15" s="629"/>
      <c r="V15" s="629"/>
      <c r="W15" s="629"/>
      <c r="X15" s="629"/>
      <c r="Y15" s="629"/>
      <c r="Z15" s="629"/>
      <c r="AA15" s="629"/>
      <c r="AB15" s="629"/>
      <c r="AC15" s="629"/>
      <c r="AD15" s="629"/>
      <c r="AE15" s="629"/>
      <c r="AF15" s="629"/>
      <c r="AG15" s="629"/>
      <c r="AH15" s="629"/>
      <c r="AI15" s="629"/>
      <c r="AJ15" s="629"/>
      <c r="AK15" s="629"/>
      <c r="AL15" s="629"/>
      <c r="AM15" s="629"/>
      <c r="AN15" s="629"/>
      <c r="AO15" s="629"/>
      <c r="AP15" s="629"/>
      <c r="AQ15" s="629"/>
      <c r="AR15" s="629"/>
      <c r="AS15" s="629"/>
      <c r="AT15" s="629"/>
      <c r="AU15" s="629"/>
      <c r="AV15" s="629"/>
      <c r="AW15" s="629"/>
      <c r="AX15" s="629"/>
      <c r="AY15" s="629"/>
      <c r="AZ15" s="629"/>
    </row>
    <row r="16" spans="1:52">
      <c r="A16" s="1493" t="str">
        <f>VLOOKUP("Hiermit bestätigen wir die Durchführung der unten genannten Test und die Richtigkeit der Ergebnisse",Translations!$A:$T,MATCH(Cover!DR19,Translations!A2:P2,0),0)</f>
        <v>Herewith we confirm the performance of the following tests and the correctness of their results:</v>
      </c>
      <c r="B16" s="1494"/>
      <c r="C16" s="1494"/>
      <c r="D16" s="1494"/>
      <c r="E16" s="1494"/>
      <c r="F16" s="1494"/>
      <c r="G16" s="1494"/>
      <c r="H16" s="1494"/>
      <c r="I16" s="1494"/>
      <c r="J16" s="1494"/>
      <c r="K16" s="1494"/>
      <c r="L16" s="1494"/>
      <c r="M16" s="1494"/>
      <c r="N16" s="1494"/>
      <c r="O16" s="1494"/>
      <c r="P16" s="1494"/>
      <c r="Q16" s="1494"/>
      <c r="R16" s="1494"/>
      <c r="S16" s="1494"/>
      <c r="T16" s="1494"/>
      <c r="U16" s="1494"/>
      <c r="V16" s="1494"/>
      <c r="W16" s="1494"/>
      <c r="X16" s="1494"/>
      <c r="Y16" s="1494"/>
      <c r="Z16" s="1494"/>
      <c r="AA16" s="1494"/>
      <c r="AB16" s="1494"/>
      <c r="AC16" s="1494"/>
      <c r="AD16" s="1494"/>
      <c r="AE16" s="1494"/>
      <c r="AF16" s="1494"/>
      <c r="AG16" s="1494"/>
      <c r="AH16" s="1494"/>
      <c r="AI16" s="1494"/>
      <c r="AJ16" s="1494"/>
      <c r="AK16" s="1494"/>
      <c r="AL16" s="1494"/>
      <c r="AM16" s="1494"/>
      <c r="AN16" s="1494"/>
      <c r="AO16" s="1494"/>
      <c r="AP16" s="1494"/>
      <c r="AQ16" s="1494"/>
      <c r="AR16" s="1494"/>
      <c r="AS16" s="1494"/>
      <c r="AT16" s="1494"/>
      <c r="AU16" s="1494"/>
      <c r="AV16" s="1494"/>
      <c r="AW16" s="1494"/>
      <c r="AX16" s="1494"/>
      <c r="AY16" s="1494"/>
      <c r="AZ16" s="1495"/>
    </row>
    <row r="17" spans="1:52" ht="13.5" thickBot="1">
      <c r="A17" s="1570"/>
      <c r="B17" s="1571"/>
      <c r="C17" s="1571"/>
      <c r="D17" s="1571"/>
      <c r="E17" s="1571"/>
      <c r="F17" s="1571"/>
      <c r="G17" s="1571"/>
      <c r="H17" s="1571"/>
      <c r="I17" s="1571"/>
      <c r="J17" s="1571"/>
      <c r="K17" s="1571"/>
      <c r="L17" s="1571"/>
      <c r="M17" s="1571"/>
      <c r="N17" s="1571"/>
      <c r="O17" s="1571"/>
      <c r="P17" s="1571"/>
      <c r="Q17" s="1571"/>
      <c r="R17" s="1571"/>
      <c r="S17" s="1571"/>
      <c r="T17" s="1571"/>
      <c r="U17" s="1571"/>
      <c r="V17" s="1571"/>
      <c r="W17" s="1571"/>
      <c r="X17" s="1571"/>
      <c r="Y17" s="1571"/>
      <c r="Z17" s="1571"/>
      <c r="AA17" s="1571"/>
      <c r="AB17" s="1571"/>
      <c r="AC17" s="1571"/>
      <c r="AD17" s="1571"/>
      <c r="AE17" s="1571"/>
      <c r="AF17" s="1571"/>
      <c r="AG17" s="1571"/>
      <c r="AH17" s="1571"/>
      <c r="AI17" s="1571"/>
      <c r="AJ17" s="1571"/>
      <c r="AK17" s="1571"/>
      <c r="AL17" s="1571"/>
      <c r="AM17" s="1571"/>
      <c r="AN17" s="1571"/>
      <c r="AO17" s="1571"/>
      <c r="AP17" s="1571"/>
      <c r="AQ17" s="1571"/>
      <c r="AR17" s="1571"/>
      <c r="AS17" s="1571"/>
      <c r="AT17" s="1571"/>
      <c r="AU17" s="1571"/>
      <c r="AV17" s="1571"/>
      <c r="AW17" s="1571"/>
      <c r="AX17" s="1571"/>
      <c r="AY17" s="1571"/>
      <c r="AZ17" s="1572"/>
    </row>
    <row r="18" spans="1:52" ht="16.5" thickBot="1">
      <c r="A18" s="1577"/>
      <c r="B18" s="1577"/>
      <c r="C18" s="1577"/>
      <c r="D18" s="1577"/>
      <c r="E18" s="1577"/>
      <c r="F18" s="1577"/>
      <c r="G18" s="1577"/>
      <c r="H18" s="1577"/>
      <c r="I18" s="1577"/>
      <c r="J18" s="1577"/>
      <c r="K18" s="1577"/>
      <c r="L18" s="1577"/>
      <c r="M18" s="1577"/>
      <c r="N18" s="1577"/>
      <c r="O18" s="1577"/>
      <c r="P18" s="1577"/>
      <c r="Q18" s="1577"/>
      <c r="R18" s="1577"/>
      <c r="S18" s="1577"/>
      <c r="T18" s="1577"/>
      <c r="U18" s="1577"/>
      <c r="V18" s="1577"/>
      <c r="W18" s="1577"/>
      <c r="X18" s="1577"/>
      <c r="Y18" s="1577"/>
      <c r="Z18" s="1577"/>
      <c r="AA18" s="1577"/>
      <c r="AB18" s="1577"/>
      <c r="AC18" s="1577"/>
      <c r="AD18" s="1577"/>
      <c r="AE18" s="1577"/>
      <c r="AF18" s="1577"/>
      <c r="AG18" s="1577"/>
      <c r="AH18" s="1577"/>
      <c r="AI18" s="1577"/>
      <c r="AJ18" s="1577"/>
      <c r="AK18" s="1577"/>
      <c r="AL18" s="1577"/>
      <c r="AM18" s="1577"/>
      <c r="AN18" s="1577"/>
      <c r="AO18" s="1577"/>
      <c r="AP18" s="1577"/>
      <c r="AQ18" s="1577"/>
      <c r="AR18" s="1577"/>
      <c r="AS18" s="1577"/>
      <c r="AT18" s="1577"/>
      <c r="AU18" s="1577"/>
      <c r="AV18" s="1577"/>
      <c r="AW18" s="1577"/>
      <c r="AX18" s="1577"/>
      <c r="AY18" s="1577"/>
      <c r="AZ18" s="1577"/>
    </row>
    <row r="19" spans="1:52">
      <c r="A19" s="1573" t="str">
        <f>VLOOKUP("Software Integration Test",Translations!$A:$T,MATCH(Cover!DR19,Translations!A2:P2,0),0)</f>
        <v>Software integration test</v>
      </c>
      <c r="B19" s="1574"/>
      <c r="C19" s="1574"/>
      <c r="D19" s="1574"/>
      <c r="E19" s="1574"/>
      <c r="F19" s="1574"/>
      <c r="G19" s="1574"/>
      <c r="H19" s="1574"/>
      <c r="I19" s="1574"/>
      <c r="J19" s="1574"/>
      <c r="K19" s="1574"/>
      <c r="L19" s="1574"/>
      <c r="M19" s="1574"/>
      <c r="N19" s="1574"/>
      <c r="O19" s="1574"/>
      <c r="P19" s="1574"/>
      <c r="Q19" s="1574"/>
      <c r="R19" s="1574"/>
      <c r="S19" s="1574"/>
      <c r="T19" s="1574"/>
      <c r="U19" s="1574"/>
      <c r="V19" s="1574"/>
      <c r="W19" s="1574"/>
      <c r="X19" s="1574"/>
      <c r="Y19" s="1574"/>
      <c r="Z19" s="1574"/>
      <c r="AA19" s="1574"/>
      <c r="AB19" s="1574"/>
      <c r="AC19" s="1574"/>
      <c r="AD19" s="1574"/>
      <c r="AE19" s="1574"/>
      <c r="AF19" s="1574"/>
      <c r="AG19" s="1574"/>
      <c r="AH19" s="1574"/>
      <c r="AI19" s="1574"/>
      <c r="AJ19" s="1574"/>
      <c r="AK19" s="1574"/>
      <c r="AL19" s="1574"/>
      <c r="AM19" s="1574"/>
      <c r="AN19" s="1574"/>
      <c r="AO19" s="1574"/>
      <c r="AP19" s="1574"/>
      <c r="AQ19" s="1574"/>
      <c r="AR19" s="1574"/>
      <c r="AS19" s="1574"/>
      <c r="AT19" s="1574"/>
      <c r="AU19" s="1574"/>
      <c r="AV19" s="1574"/>
      <c r="AW19" s="1574"/>
      <c r="AX19" s="1574"/>
      <c r="AY19" s="1574"/>
      <c r="AZ19" s="1575"/>
    </row>
    <row r="20" spans="1:52">
      <c r="A20" s="1496"/>
      <c r="B20" s="1497"/>
      <c r="C20" s="1497"/>
      <c r="D20" s="1497"/>
      <c r="E20" s="1497"/>
      <c r="F20" s="1497"/>
      <c r="G20" s="1497"/>
      <c r="H20" s="1497"/>
      <c r="I20" s="1497"/>
      <c r="J20" s="1497"/>
      <c r="K20" s="1497"/>
      <c r="L20" s="1497"/>
      <c r="M20" s="1497"/>
      <c r="N20" s="1497"/>
      <c r="O20" s="1497"/>
      <c r="P20" s="1497"/>
      <c r="Q20" s="1497"/>
      <c r="R20" s="1497"/>
      <c r="S20" s="1497"/>
      <c r="T20" s="1497"/>
      <c r="U20" s="1497"/>
      <c r="V20" s="1497"/>
      <c r="W20" s="1497"/>
      <c r="X20" s="1497"/>
      <c r="Y20" s="1497"/>
      <c r="Z20" s="1497"/>
      <c r="AA20" s="1497"/>
      <c r="AB20" s="1497"/>
      <c r="AC20" s="1497"/>
      <c r="AD20" s="1497"/>
      <c r="AE20" s="1497"/>
      <c r="AF20" s="1497"/>
      <c r="AG20" s="1497"/>
      <c r="AH20" s="1497"/>
      <c r="AI20" s="1497"/>
      <c r="AJ20" s="1497"/>
      <c r="AK20" s="1497"/>
      <c r="AL20" s="1497"/>
      <c r="AM20" s="1497"/>
      <c r="AN20" s="1497"/>
      <c r="AO20" s="1497"/>
      <c r="AP20" s="1497"/>
      <c r="AQ20" s="1497"/>
      <c r="AR20" s="1497"/>
      <c r="AS20" s="1497"/>
      <c r="AT20" s="1497"/>
      <c r="AU20" s="1497"/>
      <c r="AV20" s="1497"/>
      <c r="AW20" s="1497"/>
      <c r="AX20" s="1497"/>
      <c r="AY20" s="1497"/>
      <c r="AZ20" s="1498"/>
    </row>
    <row r="21" spans="1:52" ht="12.75" customHeight="1">
      <c r="A21" s="1551" t="str">
        <f>VLOOKUP("Duchgeführt",Translations!$A:$T,MATCH(Cover!DR19,Translations!A2:P2,0),0)</f>
        <v>Performed</v>
      </c>
      <c r="B21" s="1552"/>
      <c r="C21" s="1552"/>
      <c r="D21" s="1552"/>
      <c r="E21" s="1552"/>
      <c r="F21" s="1552"/>
      <c r="G21" s="1552"/>
      <c r="H21" s="1552"/>
      <c r="I21" s="1552"/>
      <c r="J21" s="1552"/>
      <c r="K21" s="1552"/>
      <c r="L21" s="1552"/>
      <c r="M21" s="1552"/>
      <c r="N21" s="1552"/>
      <c r="O21" s="1552"/>
      <c r="P21" s="1413" t="str">
        <f>VLOOKUP("Ja",Translations!$A:$T,MATCH(Cover!DR19,Translations!A2:P2,0),0)</f>
        <v>Yes</v>
      </c>
      <c r="Q21" s="1413"/>
      <c r="R21" s="1413"/>
      <c r="S21" s="1413"/>
      <c r="T21" s="1413"/>
      <c r="U21" s="1413"/>
      <c r="V21" s="1413"/>
      <c r="W21" s="1413" t="str">
        <f>VLOOKUP("Nein",Translations!$A:$T,MATCH(Cover!DR19,Translations!A2:P2,0),0)</f>
        <v>No</v>
      </c>
      <c r="X21" s="1413"/>
      <c r="Y21" s="1413"/>
      <c r="Z21" s="1413"/>
      <c r="AA21" s="1413"/>
      <c r="AB21" s="1413"/>
      <c r="AC21" s="1413"/>
      <c r="AD21" s="1504"/>
      <c r="AE21" s="1504"/>
      <c r="AF21" s="1504"/>
      <c r="AG21" s="1504"/>
      <c r="AH21" s="1504"/>
      <c r="AI21" s="1504"/>
      <c r="AJ21" s="1504"/>
      <c r="AK21" s="1504"/>
      <c r="AL21" s="1504"/>
      <c r="AM21" s="1504"/>
      <c r="AN21" s="1504"/>
      <c r="AO21" s="1504"/>
      <c r="AP21" s="1504"/>
      <c r="AQ21" s="1504"/>
      <c r="AR21" s="1504"/>
      <c r="AS21" s="1504"/>
      <c r="AT21" s="1504"/>
      <c r="AU21" s="1504"/>
      <c r="AV21" s="1504"/>
      <c r="AW21" s="1504"/>
      <c r="AX21" s="1504"/>
      <c r="AY21" s="1504"/>
      <c r="AZ21" s="1550"/>
    </row>
    <row r="22" spans="1:52" ht="13.5" customHeight="1">
      <c r="A22" s="1551"/>
      <c r="B22" s="1552"/>
      <c r="C22" s="1552"/>
      <c r="D22" s="1552"/>
      <c r="E22" s="1552"/>
      <c r="F22" s="1552"/>
      <c r="G22" s="1552"/>
      <c r="H22" s="1552"/>
      <c r="I22" s="1552"/>
      <c r="J22" s="1552"/>
      <c r="K22" s="1552"/>
      <c r="L22" s="1552"/>
      <c r="M22" s="1552"/>
      <c r="N22" s="1552"/>
      <c r="O22" s="1552"/>
      <c r="P22" s="1413"/>
      <c r="Q22" s="1413"/>
      <c r="R22" s="1413"/>
      <c r="S22" s="1413"/>
      <c r="T22" s="1413"/>
      <c r="U22" s="1413"/>
      <c r="V22" s="1413"/>
      <c r="W22" s="1413"/>
      <c r="X22" s="1413"/>
      <c r="Y22" s="1413"/>
      <c r="Z22" s="1413"/>
      <c r="AA22" s="1413"/>
      <c r="AB22" s="1413"/>
      <c r="AC22" s="1413"/>
      <c r="AD22" s="1504"/>
      <c r="AE22" s="1504"/>
      <c r="AF22" s="1504"/>
      <c r="AG22" s="1504"/>
      <c r="AH22" s="1504"/>
      <c r="AI22" s="1504"/>
      <c r="AJ22" s="1504"/>
      <c r="AK22" s="1504"/>
      <c r="AL22" s="1504"/>
      <c r="AM22" s="1504"/>
      <c r="AN22" s="1504"/>
      <c r="AO22" s="1504"/>
      <c r="AP22" s="1504"/>
      <c r="AQ22" s="1504"/>
      <c r="AR22" s="1504"/>
      <c r="AS22" s="1504"/>
      <c r="AT22" s="1504"/>
      <c r="AU22" s="1504"/>
      <c r="AV22" s="1504"/>
      <c r="AW22" s="1504"/>
      <c r="AX22" s="1504"/>
      <c r="AY22" s="1504"/>
      <c r="AZ22" s="1550"/>
    </row>
    <row r="23" spans="1:52" ht="12.75" customHeight="1">
      <c r="A23" s="1551" t="str">
        <f>VLOOKUP("Version",Translations!$A:$T,MATCH(Cover!DR19,Translations!A2:P2,0),0)</f>
        <v>Version</v>
      </c>
      <c r="B23" s="1552"/>
      <c r="C23" s="1552"/>
      <c r="D23" s="1552"/>
      <c r="E23" s="1552"/>
      <c r="F23" s="1552"/>
      <c r="G23" s="1552"/>
      <c r="H23" s="1552"/>
      <c r="I23" s="1552"/>
      <c r="J23" s="1552"/>
      <c r="K23" s="1552"/>
      <c r="L23" s="1552"/>
      <c r="M23" s="1552"/>
      <c r="N23" s="1552"/>
      <c r="O23" s="1552"/>
      <c r="P23" s="1413"/>
      <c r="Q23" s="1413"/>
      <c r="R23" s="1413"/>
      <c r="S23" s="1413"/>
      <c r="T23" s="1413"/>
      <c r="U23" s="1413"/>
      <c r="V23" s="1413"/>
      <c r="W23" s="1413"/>
      <c r="X23" s="1413"/>
      <c r="Y23" s="1413"/>
      <c r="Z23" s="1413"/>
      <c r="AA23" s="1413"/>
      <c r="AB23" s="1413"/>
      <c r="AC23" s="1413"/>
      <c r="AD23" s="1504"/>
      <c r="AE23" s="1504"/>
      <c r="AF23" s="1504"/>
      <c r="AG23" s="1504"/>
      <c r="AH23" s="1504"/>
      <c r="AI23" s="1504"/>
      <c r="AJ23" s="1504"/>
      <c r="AK23" s="1504"/>
      <c r="AL23" s="1504"/>
      <c r="AM23" s="1504"/>
      <c r="AN23" s="1504"/>
      <c r="AO23" s="1504"/>
      <c r="AP23" s="1504"/>
      <c r="AQ23" s="1504"/>
      <c r="AR23" s="1504"/>
      <c r="AS23" s="1504"/>
      <c r="AT23" s="1504"/>
      <c r="AU23" s="1504"/>
      <c r="AV23" s="1504"/>
      <c r="AW23" s="1504"/>
      <c r="AX23" s="1504"/>
      <c r="AY23" s="1504"/>
      <c r="AZ23" s="1550"/>
    </row>
    <row r="24" spans="1:52" ht="13.5" customHeight="1">
      <c r="A24" s="1551"/>
      <c r="B24" s="1552"/>
      <c r="C24" s="1552"/>
      <c r="D24" s="1552"/>
      <c r="E24" s="1552"/>
      <c r="F24" s="1552"/>
      <c r="G24" s="1552"/>
      <c r="H24" s="1552"/>
      <c r="I24" s="1552"/>
      <c r="J24" s="1552"/>
      <c r="K24" s="1552"/>
      <c r="L24" s="1552"/>
      <c r="M24" s="1552"/>
      <c r="N24" s="1552"/>
      <c r="O24" s="1552"/>
      <c r="P24" s="1413"/>
      <c r="Q24" s="1413"/>
      <c r="R24" s="1413"/>
      <c r="S24" s="1413"/>
      <c r="T24" s="1413"/>
      <c r="U24" s="1413"/>
      <c r="V24" s="1413"/>
      <c r="W24" s="1413"/>
      <c r="X24" s="1413"/>
      <c r="Y24" s="1413"/>
      <c r="Z24" s="1413"/>
      <c r="AA24" s="1413"/>
      <c r="AB24" s="1413"/>
      <c r="AC24" s="1413"/>
      <c r="AD24" s="1504"/>
      <c r="AE24" s="1504"/>
      <c r="AF24" s="1504"/>
      <c r="AG24" s="1504"/>
      <c r="AH24" s="1504"/>
      <c r="AI24" s="1504"/>
      <c r="AJ24" s="1504"/>
      <c r="AK24" s="1504"/>
      <c r="AL24" s="1504"/>
      <c r="AM24" s="1504"/>
      <c r="AN24" s="1504"/>
      <c r="AO24" s="1504"/>
      <c r="AP24" s="1504"/>
      <c r="AQ24" s="1504"/>
      <c r="AR24" s="1504"/>
      <c r="AS24" s="1504"/>
      <c r="AT24" s="1504"/>
      <c r="AU24" s="1504"/>
      <c r="AV24" s="1504"/>
      <c r="AW24" s="1504"/>
      <c r="AX24" s="1504"/>
      <c r="AY24" s="1504"/>
      <c r="AZ24" s="1550"/>
    </row>
    <row r="25" spans="1:52" ht="12.75" customHeight="1">
      <c r="A25" s="1551" t="str">
        <f>VLOOKUP("Ergebnis",Translations!$A:$T,MATCH(Cover!DR19,Translations!A2:P2,0),0)</f>
        <v>Result</v>
      </c>
      <c r="B25" s="1552"/>
      <c r="C25" s="1552"/>
      <c r="D25" s="1552"/>
      <c r="E25" s="1552"/>
      <c r="F25" s="1552"/>
      <c r="G25" s="1552"/>
      <c r="H25" s="1552"/>
      <c r="I25" s="1552"/>
      <c r="J25" s="1552"/>
      <c r="K25" s="1552"/>
      <c r="L25" s="1552"/>
      <c r="M25" s="1552"/>
      <c r="N25" s="1552"/>
      <c r="O25" s="1552"/>
      <c r="P25" s="1413" t="str">
        <f>VLOOKUP("erfolgreich",Translations!$A:$T,MATCH(Cover!DR19,Translations!A2:P2,0),0)</f>
        <v>successful</v>
      </c>
      <c r="Q25" s="1413"/>
      <c r="R25" s="1413"/>
      <c r="S25" s="1413"/>
      <c r="T25" s="1413"/>
      <c r="U25" s="1413"/>
      <c r="V25" s="1413"/>
      <c r="W25" s="1413" t="str">
        <f>VLOOKUP("nicht erfolgreich",Translations!$A:$T,MATCH(Cover!DR19,Translations!A2:P2,0),0)</f>
        <v>not successful</v>
      </c>
      <c r="X25" s="1413"/>
      <c r="Y25" s="1413"/>
      <c r="Z25" s="1413"/>
      <c r="AA25" s="1413"/>
      <c r="AB25" s="1413"/>
      <c r="AC25" s="1413"/>
      <c r="AD25" s="1504"/>
      <c r="AE25" s="1504"/>
      <c r="AF25" s="1504"/>
      <c r="AG25" s="1504"/>
      <c r="AH25" s="1504"/>
      <c r="AI25" s="1504"/>
      <c r="AJ25" s="1504"/>
      <c r="AK25" s="1504"/>
      <c r="AL25" s="1504"/>
      <c r="AM25" s="1504"/>
      <c r="AN25" s="1504"/>
      <c r="AO25" s="1504"/>
      <c r="AP25" s="1504"/>
      <c r="AQ25" s="1504"/>
      <c r="AR25" s="1504"/>
      <c r="AS25" s="1504"/>
      <c r="AT25" s="1504"/>
      <c r="AU25" s="1504"/>
      <c r="AV25" s="1504"/>
      <c r="AW25" s="1504"/>
      <c r="AX25" s="1504"/>
      <c r="AY25" s="1504"/>
      <c r="AZ25" s="1550"/>
    </row>
    <row r="26" spans="1:52" ht="13.5" customHeight="1">
      <c r="A26" s="1551"/>
      <c r="B26" s="1552"/>
      <c r="C26" s="1552"/>
      <c r="D26" s="1552"/>
      <c r="E26" s="1552"/>
      <c r="F26" s="1552"/>
      <c r="G26" s="1552"/>
      <c r="H26" s="1552"/>
      <c r="I26" s="1552"/>
      <c r="J26" s="1552"/>
      <c r="K26" s="1552"/>
      <c r="L26" s="1552"/>
      <c r="M26" s="1552"/>
      <c r="N26" s="1552"/>
      <c r="O26" s="1552"/>
      <c r="P26" s="1413"/>
      <c r="Q26" s="1413"/>
      <c r="R26" s="1413"/>
      <c r="S26" s="1413"/>
      <c r="T26" s="1413"/>
      <c r="U26" s="1413"/>
      <c r="V26" s="1413"/>
      <c r="W26" s="1413"/>
      <c r="X26" s="1413"/>
      <c r="Y26" s="1413"/>
      <c r="Z26" s="1413"/>
      <c r="AA26" s="1413"/>
      <c r="AB26" s="1413"/>
      <c r="AC26" s="1413"/>
      <c r="AD26" s="1504"/>
      <c r="AE26" s="1504"/>
      <c r="AF26" s="1504"/>
      <c r="AG26" s="1504"/>
      <c r="AH26" s="1504"/>
      <c r="AI26" s="1504"/>
      <c r="AJ26" s="1504"/>
      <c r="AK26" s="1504"/>
      <c r="AL26" s="1504"/>
      <c r="AM26" s="1504"/>
      <c r="AN26" s="1504"/>
      <c r="AO26" s="1504"/>
      <c r="AP26" s="1504"/>
      <c r="AQ26" s="1504"/>
      <c r="AR26" s="1504"/>
      <c r="AS26" s="1504"/>
      <c r="AT26" s="1504"/>
      <c r="AU26" s="1504"/>
      <c r="AV26" s="1504"/>
      <c r="AW26" s="1504"/>
      <c r="AX26" s="1504"/>
      <c r="AY26" s="1504"/>
      <c r="AZ26" s="1550"/>
    </row>
    <row r="27" spans="1:52" ht="12.75" customHeight="1">
      <c r="A27" s="1551" t="str">
        <f>VLOOKUP("Anzahl offener Punkte",Translations!$A:$T,MATCH(Cover!DR19,Translations!A2:P2,0),0)</f>
        <v>Number of points outstanding</v>
      </c>
      <c r="B27" s="1552"/>
      <c r="C27" s="1552"/>
      <c r="D27" s="1552"/>
      <c r="E27" s="1552"/>
      <c r="F27" s="1552"/>
      <c r="G27" s="1552"/>
      <c r="H27" s="1552"/>
      <c r="I27" s="1552"/>
      <c r="J27" s="1552"/>
      <c r="K27" s="1552"/>
      <c r="L27" s="1552"/>
      <c r="M27" s="1552"/>
      <c r="N27" s="1552"/>
      <c r="O27" s="1552"/>
      <c r="P27" s="1413"/>
      <c r="Q27" s="1413"/>
      <c r="R27" s="1413"/>
      <c r="S27" s="1413"/>
      <c r="T27" s="1413"/>
      <c r="U27" s="1413"/>
      <c r="V27" s="1413"/>
      <c r="W27" s="1413"/>
      <c r="X27" s="1413"/>
      <c r="Y27" s="1413"/>
      <c r="Z27" s="1413"/>
      <c r="AA27" s="1413"/>
      <c r="AB27" s="1413"/>
      <c r="AC27" s="1413"/>
      <c r="AD27" s="1504"/>
      <c r="AE27" s="1504"/>
      <c r="AF27" s="1504"/>
      <c r="AG27" s="1504"/>
      <c r="AH27" s="1504"/>
      <c r="AI27" s="1504"/>
      <c r="AJ27" s="1504"/>
      <c r="AK27" s="1504"/>
      <c r="AL27" s="1504"/>
      <c r="AM27" s="1504"/>
      <c r="AN27" s="1504"/>
      <c r="AO27" s="1504"/>
      <c r="AP27" s="1504"/>
      <c r="AQ27" s="1504"/>
      <c r="AR27" s="1504"/>
      <c r="AS27" s="1504"/>
      <c r="AT27" s="1504"/>
      <c r="AU27" s="1504"/>
      <c r="AV27" s="1504"/>
      <c r="AW27" s="1504"/>
      <c r="AX27" s="1504"/>
      <c r="AY27" s="1504"/>
      <c r="AZ27" s="1550"/>
    </row>
    <row r="28" spans="1:52" ht="13.5" customHeight="1">
      <c r="A28" s="1551"/>
      <c r="B28" s="1552"/>
      <c r="C28" s="1552"/>
      <c r="D28" s="1552"/>
      <c r="E28" s="1552"/>
      <c r="F28" s="1552"/>
      <c r="G28" s="1552"/>
      <c r="H28" s="1552"/>
      <c r="I28" s="1552"/>
      <c r="J28" s="1552"/>
      <c r="K28" s="1552"/>
      <c r="L28" s="1552"/>
      <c r="M28" s="1552"/>
      <c r="N28" s="1552"/>
      <c r="O28" s="1552"/>
      <c r="P28" s="1413"/>
      <c r="Q28" s="1413"/>
      <c r="R28" s="1413"/>
      <c r="S28" s="1413"/>
      <c r="T28" s="1413"/>
      <c r="U28" s="1413"/>
      <c r="V28" s="1413"/>
      <c r="W28" s="1413"/>
      <c r="X28" s="1413"/>
      <c r="Y28" s="1413"/>
      <c r="Z28" s="1413"/>
      <c r="AA28" s="1413"/>
      <c r="AB28" s="1413"/>
      <c r="AC28" s="1413"/>
      <c r="AD28" s="1504"/>
      <c r="AE28" s="1504"/>
      <c r="AF28" s="1504"/>
      <c r="AG28" s="1504"/>
      <c r="AH28" s="1504"/>
      <c r="AI28" s="1504"/>
      <c r="AJ28" s="1504"/>
      <c r="AK28" s="1504"/>
      <c r="AL28" s="1504"/>
      <c r="AM28" s="1504"/>
      <c r="AN28" s="1504"/>
      <c r="AO28" s="1504"/>
      <c r="AP28" s="1504"/>
      <c r="AQ28" s="1504"/>
      <c r="AR28" s="1504"/>
      <c r="AS28" s="1504"/>
      <c r="AT28" s="1504"/>
      <c r="AU28" s="1504"/>
      <c r="AV28" s="1504"/>
      <c r="AW28" s="1504"/>
      <c r="AX28" s="1504"/>
      <c r="AY28" s="1504"/>
      <c r="AZ28" s="1550"/>
    </row>
    <row r="29" spans="1:52" ht="12.75" customHeight="1">
      <c r="A29" s="1548"/>
      <c r="B29" s="1549"/>
      <c r="C29" s="1549"/>
      <c r="D29" s="1549"/>
      <c r="E29" s="1549"/>
      <c r="F29" s="1549"/>
      <c r="G29" s="1549"/>
      <c r="H29" s="1549"/>
      <c r="I29" s="1549"/>
      <c r="J29" s="1549"/>
      <c r="K29" s="1549"/>
      <c r="L29" s="1549"/>
      <c r="M29" s="1549"/>
      <c r="N29" s="1549"/>
      <c r="O29" s="1549"/>
      <c r="P29" s="1413"/>
      <c r="Q29" s="1413"/>
      <c r="R29" s="1413"/>
      <c r="S29" s="1413"/>
      <c r="T29" s="1413"/>
      <c r="U29" s="1413"/>
      <c r="V29" s="1413"/>
      <c r="W29" s="1413"/>
      <c r="X29" s="1413"/>
      <c r="Y29" s="1413"/>
      <c r="Z29" s="1413"/>
      <c r="AA29" s="1413"/>
      <c r="AB29" s="1413"/>
      <c r="AC29" s="1413"/>
      <c r="AD29" s="1504"/>
      <c r="AE29" s="1504"/>
      <c r="AF29" s="1504"/>
      <c r="AG29" s="1504"/>
      <c r="AH29" s="1504"/>
      <c r="AI29" s="1504"/>
      <c r="AJ29" s="1504"/>
      <c r="AK29" s="1504"/>
      <c r="AL29" s="1504"/>
      <c r="AM29" s="1504"/>
      <c r="AN29" s="1504"/>
      <c r="AO29" s="1504"/>
      <c r="AP29" s="1504"/>
      <c r="AQ29" s="1504"/>
      <c r="AR29" s="1504"/>
      <c r="AS29" s="1504"/>
      <c r="AT29" s="1504"/>
      <c r="AU29" s="1504"/>
      <c r="AV29" s="1504"/>
      <c r="AW29" s="1504"/>
      <c r="AX29" s="1504"/>
      <c r="AY29" s="1504"/>
      <c r="AZ29" s="1550"/>
    </row>
    <row r="30" spans="1:52" ht="13.5" customHeight="1">
      <c r="A30" s="1548"/>
      <c r="B30" s="1549"/>
      <c r="C30" s="1549"/>
      <c r="D30" s="1549"/>
      <c r="E30" s="1549"/>
      <c r="F30" s="1549"/>
      <c r="G30" s="1549"/>
      <c r="H30" s="1549"/>
      <c r="I30" s="1549"/>
      <c r="J30" s="1549"/>
      <c r="K30" s="1549"/>
      <c r="L30" s="1549"/>
      <c r="M30" s="1549"/>
      <c r="N30" s="1549"/>
      <c r="O30" s="1549"/>
      <c r="P30" s="1413"/>
      <c r="Q30" s="1413"/>
      <c r="R30" s="1413"/>
      <c r="S30" s="1413"/>
      <c r="T30" s="1413"/>
      <c r="U30" s="1413"/>
      <c r="V30" s="1413"/>
      <c r="W30" s="1413"/>
      <c r="X30" s="1413"/>
      <c r="Y30" s="1413"/>
      <c r="Z30" s="1413"/>
      <c r="AA30" s="1413"/>
      <c r="AB30" s="1413"/>
      <c r="AC30" s="1413"/>
      <c r="AD30" s="1504"/>
      <c r="AE30" s="1504"/>
      <c r="AF30" s="1504"/>
      <c r="AG30" s="1504"/>
      <c r="AH30" s="1504"/>
      <c r="AI30" s="1504"/>
      <c r="AJ30" s="1504"/>
      <c r="AK30" s="1504"/>
      <c r="AL30" s="1504"/>
      <c r="AM30" s="1504"/>
      <c r="AN30" s="1504"/>
      <c r="AO30" s="1504"/>
      <c r="AP30" s="1504"/>
      <c r="AQ30" s="1504"/>
      <c r="AR30" s="1504"/>
      <c r="AS30" s="1504"/>
      <c r="AT30" s="1504"/>
      <c r="AU30" s="1504"/>
      <c r="AV30" s="1504"/>
      <c r="AW30" s="1504"/>
      <c r="AX30" s="1504"/>
      <c r="AY30" s="1504"/>
      <c r="AZ30" s="1550"/>
    </row>
    <row r="31" spans="1:52" ht="12.75" customHeight="1">
      <c r="A31" s="1548"/>
      <c r="B31" s="1549"/>
      <c r="C31" s="1549"/>
      <c r="D31" s="1549"/>
      <c r="E31" s="1549"/>
      <c r="F31" s="1549"/>
      <c r="G31" s="1549"/>
      <c r="H31" s="1549"/>
      <c r="I31" s="1549"/>
      <c r="J31" s="1549"/>
      <c r="K31" s="1549"/>
      <c r="L31" s="1549"/>
      <c r="M31" s="1549"/>
      <c r="N31" s="1549"/>
      <c r="O31" s="1549"/>
      <c r="P31" s="1413"/>
      <c r="Q31" s="1413"/>
      <c r="R31" s="1413"/>
      <c r="S31" s="1413"/>
      <c r="T31" s="1413"/>
      <c r="U31" s="1413"/>
      <c r="V31" s="1413"/>
      <c r="W31" s="1413"/>
      <c r="X31" s="1413"/>
      <c r="Y31" s="1413"/>
      <c r="Z31" s="1413"/>
      <c r="AA31" s="1413"/>
      <c r="AB31" s="1413"/>
      <c r="AC31" s="1413"/>
      <c r="AD31" s="1504"/>
      <c r="AE31" s="1504"/>
      <c r="AF31" s="1504"/>
      <c r="AG31" s="1504"/>
      <c r="AH31" s="1504"/>
      <c r="AI31" s="1504"/>
      <c r="AJ31" s="1504"/>
      <c r="AK31" s="1504"/>
      <c r="AL31" s="1504"/>
      <c r="AM31" s="1504"/>
      <c r="AN31" s="1504"/>
      <c r="AO31" s="1504"/>
      <c r="AP31" s="1504"/>
      <c r="AQ31" s="1504"/>
      <c r="AR31" s="1504"/>
      <c r="AS31" s="1504"/>
      <c r="AT31" s="1504"/>
      <c r="AU31" s="1504"/>
      <c r="AV31" s="1504"/>
      <c r="AW31" s="1504"/>
      <c r="AX31" s="1504"/>
      <c r="AY31" s="1504"/>
      <c r="AZ31" s="1550"/>
    </row>
    <row r="32" spans="1:52" ht="13.5" customHeight="1" thickBot="1">
      <c r="A32" s="1553"/>
      <c r="B32" s="1554"/>
      <c r="C32" s="1554"/>
      <c r="D32" s="1554"/>
      <c r="E32" s="1554"/>
      <c r="F32" s="1554"/>
      <c r="G32" s="1554"/>
      <c r="H32" s="1554"/>
      <c r="I32" s="1554"/>
      <c r="J32" s="1554"/>
      <c r="K32" s="1554"/>
      <c r="L32" s="1554"/>
      <c r="M32" s="1554"/>
      <c r="N32" s="1554"/>
      <c r="O32" s="1554"/>
      <c r="P32" s="1453"/>
      <c r="Q32" s="1453"/>
      <c r="R32" s="1453"/>
      <c r="S32" s="1453"/>
      <c r="T32" s="1453"/>
      <c r="U32" s="1453"/>
      <c r="V32" s="1453"/>
      <c r="W32" s="1453"/>
      <c r="X32" s="1453"/>
      <c r="Y32" s="1453"/>
      <c r="Z32" s="1453"/>
      <c r="AA32" s="1453"/>
      <c r="AB32" s="1453"/>
      <c r="AC32" s="1453"/>
      <c r="AD32" s="1506"/>
      <c r="AE32" s="1506"/>
      <c r="AF32" s="1506"/>
      <c r="AG32" s="1506"/>
      <c r="AH32" s="1506"/>
      <c r="AI32" s="1506"/>
      <c r="AJ32" s="1506"/>
      <c r="AK32" s="1506"/>
      <c r="AL32" s="1506"/>
      <c r="AM32" s="1506"/>
      <c r="AN32" s="1506"/>
      <c r="AO32" s="1506"/>
      <c r="AP32" s="1506"/>
      <c r="AQ32" s="1506"/>
      <c r="AR32" s="1506"/>
      <c r="AS32" s="1506"/>
      <c r="AT32" s="1506"/>
      <c r="AU32" s="1506"/>
      <c r="AV32" s="1506"/>
      <c r="AW32" s="1506"/>
      <c r="AX32" s="1506"/>
      <c r="AY32" s="1506"/>
      <c r="AZ32" s="1555"/>
    </row>
    <row r="33" spans="1:52" ht="13.5" thickBot="1">
      <c r="A33" s="629"/>
      <c r="B33" s="629"/>
      <c r="C33" s="629"/>
      <c r="D33" s="629"/>
      <c r="E33" s="629"/>
      <c r="F33" s="629"/>
      <c r="G33" s="629"/>
      <c r="H33" s="629"/>
      <c r="I33" s="629"/>
      <c r="J33" s="629"/>
      <c r="K33" s="629"/>
      <c r="L33" s="629"/>
      <c r="M33" s="629"/>
      <c r="N33" s="629"/>
      <c r="O33" s="629"/>
      <c r="P33" s="629"/>
      <c r="Q33" s="629"/>
      <c r="R33" s="629"/>
      <c r="S33" s="629"/>
      <c r="T33" s="629"/>
      <c r="U33" s="629"/>
      <c r="V33" s="629"/>
      <c r="W33" s="629"/>
      <c r="X33" s="629"/>
      <c r="Y33" s="629"/>
      <c r="Z33" s="629"/>
      <c r="AA33" s="629"/>
      <c r="AB33" s="629"/>
      <c r="AC33" s="629"/>
      <c r="AD33" s="629"/>
      <c r="AE33" s="629"/>
      <c r="AF33" s="629"/>
      <c r="AG33" s="629"/>
      <c r="AH33" s="629"/>
      <c r="AI33" s="629"/>
      <c r="AJ33" s="629"/>
      <c r="AK33" s="629"/>
      <c r="AL33" s="629"/>
      <c r="AM33" s="629"/>
      <c r="AN33" s="629"/>
      <c r="AO33" s="629"/>
      <c r="AP33" s="629"/>
      <c r="AQ33" s="629"/>
      <c r="AR33" s="629"/>
      <c r="AS33" s="629"/>
      <c r="AT33" s="629"/>
      <c r="AU33" s="629"/>
      <c r="AV33" s="629"/>
      <c r="AW33" s="629"/>
      <c r="AX33" s="629"/>
      <c r="AY33" s="629"/>
      <c r="AZ33" s="629"/>
    </row>
    <row r="34" spans="1:52">
      <c r="A34" s="1493" t="str">
        <f>VLOOKUP("Modultest",Translations!$A:$T,MATCH(Cover!DR19,Translations!A2:P2,0),0)</f>
        <v>Module test</v>
      </c>
      <c r="B34" s="1494"/>
      <c r="C34" s="1494"/>
      <c r="D34" s="1494"/>
      <c r="E34" s="1494"/>
      <c r="F34" s="1494"/>
      <c r="G34" s="1494"/>
      <c r="H34" s="1494"/>
      <c r="I34" s="1494"/>
      <c r="J34" s="1494"/>
      <c r="K34" s="1494"/>
      <c r="L34" s="1494"/>
      <c r="M34" s="1494"/>
      <c r="N34" s="1494"/>
      <c r="O34" s="1494"/>
      <c r="P34" s="1494"/>
      <c r="Q34" s="1494"/>
      <c r="R34" s="1494"/>
      <c r="S34" s="1494"/>
      <c r="T34" s="1494"/>
      <c r="U34" s="1494"/>
      <c r="V34" s="1494"/>
      <c r="W34" s="1494"/>
      <c r="X34" s="1494"/>
      <c r="Y34" s="1494"/>
      <c r="Z34" s="1494"/>
      <c r="AA34" s="1494"/>
      <c r="AB34" s="1494"/>
      <c r="AC34" s="1494"/>
      <c r="AD34" s="1494"/>
      <c r="AE34" s="1494"/>
      <c r="AF34" s="1494"/>
      <c r="AG34" s="1494"/>
      <c r="AH34" s="1494"/>
      <c r="AI34" s="1494"/>
      <c r="AJ34" s="1494"/>
      <c r="AK34" s="1494"/>
      <c r="AL34" s="1494"/>
      <c r="AM34" s="1494"/>
      <c r="AN34" s="1494"/>
      <c r="AO34" s="1494"/>
      <c r="AP34" s="1494"/>
      <c r="AQ34" s="1494"/>
      <c r="AR34" s="1494"/>
      <c r="AS34" s="1494"/>
      <c r="AT34" s="1494"/>
      <c r="AU34" s="1494"/>
      <c r="AV34" s="1494"/>
      <c r="AW34" s="1494"/>
      <c r="AX34" s="1494"/>
      <c r="AY34" s="1494"/>
      <c r="AZ34" s="1495"/>
    </row>
    <row r="35" spans="1:52">
      <c r="A35" s="1496"/>
      <c r="B35" s="1497"/>
      <c r="C35" s="1497"/>
      <c r="D35" s="1497"/>
      <c r="E35" s="1497"/>
      <c r="F35" s="1497"/>
      <c r="G35" s="1497"/>
      <c r="H35" s="1497"/>
      <c r="I35" s="1497"/>
      <c r="J35" s="1497"/>
      <c r="K35" s="1497"/>
      <c r="L35" s="1497"/>
      <c r="M35" s="1497"/>
      <c r="N35" s="1497"/>
      <c r="O35" s="1497"/>
      <c r="P35" s="1497"/>
      <c r="Q35" s="1497"/>
      <c r="R35" s="1497"/>
      <c r="S35" s="1497"/>
      <c r="T35" s="1497"/>
      <c r="U35" s="1497"/>
      <c r="V35" s="1497"/>
      <c r="W35" s="1497"/>
      <c r="X35" s="1497"/>
      <c r="Y35" s="1497"/>
      <c r="Z35" s="1497"/>
      <c r="AA35" s="1497"/>
      <c r="AB35" s="1497"/>
      <c r="AC35" s="1497"/>
      <c r="AD35" s="1497"/>
      <c r="AE35" s="1497"/>
      <c r="AF35" s="1497"/>
      <c r="AG35" s="1497"/>
      <c r="AH35" s="1497"/>
      <c r="AI35" s="1497"/>
      <c r="AJ35" s="1497"/>
      <c r="AK35" s="1497"/>
      <c r="AL35" s="1497"/>
      <c r="AM35" s="1497"/>
      <c r="AN35" s="1497"/>
      <c r="AO35" s="1497"/>
      <c r="AP35" s="1497"/>
      <c r="AQ35" s="1497"/>
      <c r="AR35" s="1497"/>
      <c r="AS35" s="1497"/>
      <c r="AT35" s="1497"/>
      <c r="AU35" s="1497"/>
      <c r="AV35" s="1497"/>
      <c r="AW35" s="1497"/>
      <c r="AX35" s="1497"/>
      <c r="AY35" s="1497"/>
      <c r="AZ35" s="1498"/>
    </row>
    <row r="36" spans="1:52" ht="12.75" customHeight="1">
      <c r="A36" s="1551" t="str">
        <f>VLOOKUP("Duchgeführt",Translations!$A:$T,MATCH(Cover!DR19,Translations!A2:P2,0),0)</f>
        <v>Performed</v>
      </c>
      <c r="B36" s="1552"/>
      <c r="C36" s="1552"/>
      <c r="D36" s="1552"/>
      <c r="E36" s="1552"/>
      <c r="F36" s="1552"/>
      <c r="G36" s="1552"/>
      <c r="H36" s="1552"/>
      <c r="I36" s="1552"/>
      <c r="J36" s="1552"/>
      <c r="K36" s="1552"/>
      <c r="L36" s="1552"/>
      <c r="M36" s="1552"/>
      <c r="N36" s="1552"/>
      <c r="O36" s="1552"/>
      <c r="P36" s="1413" t="str">
        <f>VLOOKUP("Ja",Translations!$A:$T,MATCH(Cover!DR19,Translations!A2:P2,0),0)</f>
        <v>Yes</v>
      </c>
      <c r="Q36" s="1413"/>
      <c r="R36" s="1413"/>
      <c r="S36" s="1413"/>
      <c r="T36" s="1413"/>
      <c r="U36" s="1413"/>
      <c r="V36" s="1413"/>
      <c r="W36" s="1413" t="str">
        <f>VLOOKUP("Nein",Translations!$A:$T,MATCH(Cover!DR19,Translations!A2:P2,0),0)</f>
        <v>No</v>
      </c>
      <c r="X36" s="1413"/>
      <c r="Y36" s="1413"/>
      <c r="Z36" s="1413"/>
      <c r="AA36" s="1413"/>
      <c r="AB36" s="1413"/>
      <c r="AC36" s="1413"/>
      <c r="AD36" s="1504"/>
      <c r="AE36" s="1504"/>
      <c r="AF36" s="1504"/>
      <c r="AG36" s="1504"/>
      <c r="AH36" s="1504"/>
      <c r="AI36" s="1504"/>
      <c r="AJ36" s="1504"/>
      <c r="AK36" s="1504"/>
      <c r="AL36" s="1504"/>
      <c r="AM36" s="1504"/>
      <c r="AN36" s="1504"/>
      <c r="AO36" s="1504"/>
      <c r="AP36" s="1504"/>
      <c r="AQ36" s="1504"/>
      <c r="AR36" s="1504"/>
      <c r="AS36" s="1504"/>
      <c r="AT36" s="1504"/>
      <c r="AU36" s="1504"/>
      <c r="AV36" s="1504"/>
      <c r="AW36" s="1504"/>
      <c r="AX36" s="1504"/>
      <c r="AY36" s="1504"/>
      <c r="AZ36" s="1550"/>
    </row>
    <row r="37" spans="1:52" ht="13.5" customHeight="1">
      <c r="A37" s="1551"/>
      <c r="B37" s="1552"/>
      <c r="C37" s="1552"/>
      <c r="D37" s="1552"/>
      <c r="E37" s="1552"/>
      <c r="F37" s="1552"/>
      <c r="G37" s="1552"/>
      <c r="H37" s="1552"/>
      <c r="I37" s="1552"/>
      <c r="J37" s="1552"/>
      <c r="K37" s="1552"/>
      <c r="L37" s="1552"/>
      <c r="M37" s="1552"/>
      <c r="N37" s="1552"/>
      <c r="O37" s="1552"/>
      <c r="P37" s="1413"/>
      <c r="Q37" s="1413"/>
      <c r="R37" s="1413"/>
      <c r="S37" s="1413"/>
      <c r="T37" s="1413"/>
      <c r="U37" s="1413"/>
      <c r="V37" s="1413"/>
      <c r="W37" s="1413"/>
      <c r="X37" s="1413"/>
      <c r="Y37" s="1413"/>
      <c r="Z37" s="1413"/>
      <c r="AA37" s="1413"/>
      <c r="AB37" s="1413"/>
      <c r="AC37" s="1413"/>
      <c r="AD37" s="1504"/>
      <c r="AE37" s="1504"/>
      <c r="AF37" s="1504"/>
      <c r="AG37" s="1504"/>
      <c r="AH37" s="1504"/>
      <c r="AI37" s="1504"/>
      <c r="AJ37" s="1504"/>
      <c r="AK37" s="1504"/>
      <c r="AL37" s="1504"/>
      <c r="AM37" s="1504"/>
      <c r="AN37" s="1504"/>
      <c r="AO37" s="1504"/>
      <c r="AP37" s="1504"/>
      <c r="AQ37" s="1504"/>
      <c r="AR37" s="1504"/>
      <c r="AS37" s="1504"/>
      <c r="AT37" s="1504"/>
      <c r="AU37" s="1504"/>
      <c r="AV37" s="1504"/>
      <c r="AW37" s="1504"/>
      <c r="AX37" s="1504"/>
      <c r="AY37" s="1504"/>
      <c r="AZ37" s="1550"/>
    </row>
    <row r="38" spans="1:52" ht="12.75" customHeight="1">
      <c r="A38" s="1551" t="str">
        <f>VLOOKUP("Version",Translations!$A:$T,MATCH(Cover!DR19,Translations!A2:P2,0),0)</f>
        <v>Version</v>
      </c>
      <c r="B38" s="1552"/>
      <c r="C38" s="1552"/>
      <c r="D38" s="1552"/>
      <c r="E38" s="1552"/>
      <c r="F38" s="1552"/>
      <c r="G38" s="1552"/>
      <c r="H38" s="1552"/>
      <c r="I38" s="1552"/>
      <c r="J38" s="1552"/>
      <c r="K38" s="1552"/>
      <c r="L38" s="1552"/>
      <c r="M38" s="1552"/>
      <c r="N38" s="1552"/>
      <c r="O38" s="1552"/>
      <c r="P38" s="1413"/>
      <c r="Q38" s="1413"/>
      <c r="R38" s="1413"/>
      <c r="S38" s="1413"/>
      <c r="T38" s="1413"/>
      <c r="U38" s="1413"/>
      <c r="V38" s="1413"/>
      <c r="W38" s="1413"/>
      <c r="X38" s="1413"/>
      <c r="Y38" s="1413"/>
      <c r="Z38" s="1413"/>
      <c r="AA38" s="1413"/>
      <c r="AB38" s="1413"/>
      <c r="AC38" s="1413"/>
      <c r="AD38" s="1504"/>
      <c r="AE38" s="1504"/>
      <c r="AF38" s="1504"/>
      <c r="AG38" s="1504"/>
      <c r="AH38" s="1504"/>
      <c r="AI38" s="1504"/>
      <c r="AJ38" s="1504"/>
      <c r="AK38" s="1504"/>
      <c r="AL38" s="1504"/>
      <c r="AM38" s="1504"/>
      <c r="AN38" s="1504"/>
      <c r="AO38" s="1504"/>
      <c r="AP38" s="1504"/>
      <c r="AQ38" s="1504"/>
      <c r="AR38" s="1504"/>
      <c r="AS38" s="1504"/>
      <c r="AT38" s="1504"/>
      <c r="AU38" s="1504"/>
      <c r="AV38" s="1504"/>
      <c r="AW38" s="1504"/>
      <c r="AX38" s="1504"/>
      <c r="AY38" s="1504"/>
      <c r="AZ38" s="1550"/>
    </row>
    <row r="39" spans="1:52" ht="13.5" customHeight="1">
      <c r="A39" s="1551"/>
      <c r="B39" s="1552"/>
      <c r="C39" s="1552"/>
      <c r="D39" s="1552"/>
      <c r="E39" s="1552"/>
      <c r="F39" s="1552"/>
      <c r="G39" s="1552"/>
      <c r="H39" s="1552"/>
      <c r="I39" s="1552"/>
      <c r="J39" s="1552"/>
      <c r="K39" s="1552"/>
      <c r="L39" s="1552"/>
      <c r="M39" s="1552"/>
      <c r="N39" s="1552"/>
      <c r="O39" s="1552"/>
      <c r="P39" s="1413"/>
      <c r="Q39" s="1413"/>
      <c r="R39" s="1413"/>
      <c r="S39" s="1413"/>
      <c r="T39" s="1413"/>
      <c r="U39" s="1413"/>
      <c r="V39" s="1413"/>
      <c r="W39" s="1413"/>
      <c r="X39" s="1413"/>
      <c r="Y39" s="1413"/>
      <c r="Z39" s="1413"/>
      <c r="AA39" s="1413"/>
      <c r="AB39" s="1413"/>
      <c r="AC39" s="1413"/>
      <c r="AD39" s="1504"/>
      <c r="AE39" s="1504"/>
      <c r="AF39" s="1504"/>
      <c r="AG39" s="1504"/>
      <c r="AH39" s="1504"/>
      <c r="AI39" s="1504"/>
      <c r="AJ39" s="1504"/>
      <c r="AK39" s="1504"/>
      <c r="AL39" s="1504"/>
      <c r="AM39" s="1504"/>
      <c r="AN39" s="1504"/>
      <c r="AO39" s="1504"/>
      <c r="AP39" s="1504"/>
      <c r="AQ39" s="1504"/>
      <c r="AR39" s="1504"/>
      <c r="AS39" s="1504"/>
      <c r="AT39" s="1504"/>
      <c r="AU39" s="1504"/>
      <c r="AV39" s="1504"/>
      <c r="AW39" s="1504"/>
      <c r="AX39" s="1504"/>
      <c r="AY39" s="1504"/>
      <c r="AZ39" s="1550"/>
    </row>
    <row r="40" spans="1:52" ht="12.75" customHeight="1">
      <c r="A40" s="1551" t="str">
        <f>VLOOKUP("Ergebnis",Translations!$A:$T,MATCH(Cover!DR19,Translations!A2:P2,0),0)</f>
        <v>Result</v>
      </c>
      <c r="B40" s="1552"/>
      <c r="C40" s="1552"/>
      <c r="D40" s="1552"/>
      <c r="E40" s="1552"/>
      <c r="F40" s="1552"/>
      <c r="G40" s="1552"/>
      <c r="H40" s="1552"/>
      <c r="I40" s="1552"/>
      <c r="J40" s="1552"/>
      <c r="K40" s="1552"/>
      <c r="L40" s="1552"/>
      <c r="M40" s="1552"/>
      <c r="N40" s="1552"/>
      <c r="O40" s="1552"/>
      <c r="P40" s="1413" t="str">
        <f>VLOOKUP("erfolgreich",Translations!$A:$T,MATCH(Cover!DR19,Translations!A2:P2,0),0)</f>
        <v>successful</v>
      </c>
      <c r="Q40" s="1413"/>
      <c r="R40" s="1413"/>
      <c r="S40" s="1413"/>
      <c r="T40" s="1413"/>
      <c r="U40" s="1413"/>
      <c r="V40" s="1413"/>
      <c r="W40" s="1413" t="str">
        <f>VLOOKUP("nicht erfolgreich",Translations!$A:$T,MATCH(Cover!DR19,Translations!A2:P2,0),0)</f>
        <v>not successful</v>
      </c>
      <c r="X40" s="1413"/>
      <c r="Y40" s="1413"/>
      <c r="Z40" s="1413"/>
      <c r="AA40" s="1413"/>
      <c r="AB40" s="1413"/>
      <c r="AC40" s="1413"/>
      <c r="AD40" s="1504"/>
      <c r="AE40" s="1504"/>
      <c r="AF40" s="1504"/>
      <c r="AG40" s="1504"/>
      <c r="AH40" s="1504"/>
      <c r="AI40" s="1504"/>
      <c r="AJ40" s="1504"/>
      <c r="AK40" s="1504"/>
      <c r="AL40" s="1504"/>
      <c r="AM40" s="1504"/>
      <c r="AN40" s="1504"/>
      <c r="AO40" s="1504"/>
      <c r="AP40" s="1504"/>
      <c r="AQ40" s="1504"/>
      <c r="AR40" s="1504"/>
      <c r="AS40" s="1504"/>
      <c r="AT40" s="1504"/>
      <c r="AU40" s="1504"/>
      <c r="AV40" s="1504"/>
      <c r="AW40" s="1504"/>
      <c r="AX40" s="1504"/>
      <c r="AY40" s="1504"/>
      <c r="AZ40" s="1550"/>
    </row>
    <row r="41" spans="1:52" ht="13.5" customHeight="1">
      <c r="A41" s="1551"/>
      <c r="B41" s="1552"/>
      <c r="C41" s="1552"/>
      <c r="D41" s="1552"/>
      <c r="E41" s="1552"/>
      <c r="F41" s="1552"/>
      <c r="G41" s="1552"/>
      <c r="H41" s="1552"/>
      <c r="I41" s="1552"/>
      <c r="J41" s="1552"/>
      <c r="K41" s="1552"/>
      <c r="L41" s="1552"/>
      <c r="M41" s="1552"/>
      <c r="N41" s="1552"/>
      <c r="O41" s="1552"/>
      <c r="P41" s="1413"/>
      <c r="Q41" s="1413"/>
      <c r="R41" s="1413"/>
      <c r="S41" s="1413"/>
      <c r="T41" s="1413"/>
      <c r="U41" s="1413"/>
      <c r="V41" s="1413"/>
      <c r="W41" s="1413"/>
      <c r="X41" s="1413"/>
      <c r="Y41" s="1413"/>
      <c r="Z41" s="1413"/>
      <c r="AA41" s="1413"/>
      <c r="AB41" s="1413"/>
      <c r="AC41" s="1413"/>
      <c r="AD41" s="1504"/>
      <c r="AE41" s="1504"/>
      <c r="AF41" s="1504"/>
      <c r="AG41" s="1504"/>
      <c r="AH41" s="1504"/>
      <c r="AI41" s="1504"/>
      <c r="AJ41" s="1504"/>
      <c r="AK41" s="1504"/>
      <c r="AL41" s="1504"/>
      <c r="AM41" s="1504"/>
      <c r="AN41" s="1504"/>
      <c r="AO41" s="1504"/>
      <c r="AP41" s="1504"/>
      <c r="AQ41" s="1504"/>
      <c r="AR41" s="1504"/>
      <c r="AS41" s="1504"/>
      <c r="AT41" s="1504"/>
      <c r="AU41" s="1504"/>
      <c r="AV41" s="1504"/>
      <c r="AW41" s="1504"/>
      <c r="AX41" s="1504"/>
      <c r="AY41" s="1504"/>
      <c r="AZ41" s="1550"/>
    </row>
    <row r="42" spans="1:52" ht="12.75" customHeight="1">
      <c r="A42" s="1551" t="str">
        <f>VLOOKUP("Anzahl offener Punkte",Translations!$A:$T,MATCH(Cover!DR19,Translations!A2:P2,0),0)</f>
        <v>Number of points outstanding</v>
      </c>
      <c r="B42" s="1552"/>
      <c r="C42" s="1552"/>
      <c r="D42" s="1552"/>
      <c r="E42" s="1552"/>
      <c r="F42" s="1552"/>
      <c r="G42" s="1552"/>
      <c r="H42" s="1552"/>
      <c r="I42" s="1552"/>
      <c r="J42" s="1552"/>
      <c r="K42" s="1552"/>
      <c r="L42" s="1552"/>
      <c r="M42" s="1552"/>
      <c r="N42" s="1552"/>
      <c r="O42" s="1552"/>
      <c r="P42" s="1413"/>
      <c r="Q42" s="1413"/>
      <c r="R42" s="1413"/>
      <c r="S42" s="1413"/>
      <c r="T42" s="1413"/>
      <c r="U42" s="1413"/>
      <c r="V42" s="1413"/>
      <c r="W42" s="1413"/>
      <c r="X42" s="1413"/>
      <c r="Y42" s="1413"/>
      <c r="Z42" s="1413"/>
      <c r="AA42" s="1413"/>
      <c r="AB42" s="1413"/>
      <c r="AC42" s="1413"/>
      <c r="AD42" s="1504"/>
      <c r="AE42" s="1504"/>
      <c r="AF42" s="1504"/>
      <c r="AG42" s="1504"/>
      <c r="AH42" s="1504"/>
      <c r="AI42" s="1504"/>
      <c r="AJ42" s="1504"/>
      <c r="AK42" s="1504"/>
      <c r="AL42" s="1504"/>
      <c r="AM42" s="1504"/>
      <c r="AN42" s="1504"/>
      <c r="AO42" s="1504"/>
      <c r="AP42" s="1504"/>
      <c r="AQ42" s="1504"/>
      <c r="AR42" s="1504"/>
      <c r="AS42" s="1504"/>
      <c r="AT42" s="1504"/>
      <c r="AU42" s="1504"/>
      <c r="AV42" s="1504"/>
      <c r="AW42" s="1504"/>
      <c r="AX42" s="1504"/>
      <c r="AY42" s="1504"/>
      <c r="AZ42" s="1550"/>
    </row>
    <row r="43" spans="1:52" ht="13.5" customHeight="1">
      <c r="A43" s="1551"/>
      <c r="B43" s="1552"/>
      <c r="C43" s="1552"/>
      <c r="D43" s="1552"/>
      <c r="E43" s="1552"/>
      <c r="F43" s="1552"/>
      <c r="G43" s="1552"/>
      <c r="H43" s="1552"/>
      <c r="I43" s="1552"/>
      <c r="J43" s="1552"/>
      <c r="K43" s="1552"/>
      <c r="L43" s="1552"/>
      <c r="M43" s="1552"/>
      <c r="N43" s="1552"/>
      <c r="O43" s="1552"/>
      <c r="P43" s="1413"/>
      <c r="Q43" s="1413"/>
      <c r="R43" s="1413"/>
      <c r="S43" s="1413"/>
      <c r="T43" s="1413"/>
      <c r="U43" s="1413"/>
      <c r="V43" s="1413"/>
      <c r="W43" s="1413"/>
      <c r="X43" s="1413"/>
      <c r="Y43" s="1413"/>
      <c r="Z43" s="1413"/>
      <c r="AA43" s="1413"/>
      <c r="AB43" s="1413"/>
      <c r="AC43" s="1413"/>
      <c r="AD43" s="1504"/>
      <c r="AE43" s="1504"/>
      <c r="AF43" s="1504"/>
      <c r="AG43" s="1504"/>
      <c r="AH43" s="1504"/>
      <c r="AI43" s="1504"/>
      <c r="AJ43" s="1504"/>
      <c r="AK43" s="1504"/>
      <c r="AL43" s="1504"/>
      <c r="AM43" s="1504"/>
      <c r="AN43" s="1504"/>
      <c r="AO43" s="1504"/>
      <c r="AP43" s="1504"/>
      <c r="AQ43" s="1504"/>
      <c r="AR43" s="1504"/>
      <c r="AS43" s="1504"/>
      <c r="AT43" s="1504"/>
      <c r="AU43" s="1504"/>
      <c r="AV43" s="1504"/>
      <c r="AW43" s="1504"/>
      <c r="AX43" s="1504"/>
      <c r="AY43" s="1504"/>
      <c r="AZ43" s="1550"/>
    </row>
    <row r="44" spans="1:52" ht="12.75" customHeight="1">
      <c r="A44" s="1548"/>
      <c r="B44" s="1549"/>
      <c r="C44" s="1549"/>
      <c r="D44" s="1549"/>
      <c r="E44" s="1549"/>
      <c r="F44" s="1549"/>
      <c r="G44" s="1549"/>
      <c r="H44" s="1549"/>
      <c r="I44" s="1549"/>
      <c r="J44" s="1549"/>
      <c r="K44" s="1549"/>
      <c r="L44" s="1549"/>
      <c r="M44" s="1549"/>
      <c r="N44" s="1549"/>
      <c r="O44" s="1549"/>
      <c r="P44" s="1413"/>
      <c r="Q44" s="1413"/>
      <c r="R44" s="1413"/>
      <c r="S44" s="1413"/>
      <c r="T44" s="1413"/>
      <c r="U44" s="1413"/>
      <c r="V44" s="1413"/>
      <c r="W44" s="1413"/>
      <c r="X44" s="1413"/>
      <c r="Y44" s="1413"/>
      <c r="Z44" s="1413"/>
      <c r="AA44" s="1413"/>
      <c r="AB44" s="1413"/>
      <c r="AC44" s="1413"/>
      <c r="AD44" s="1504"/>
      <c r="AE44" s="1504"/>
      <c r="AF44" s="1504"/>
      <c r="AG44" s="1504"/>
      <c r="AH44" s="1504"/>
      <c r="AI44" s="1504"/>
      <c r="AJ44" s="1504"/>
      <c r="AK44" s="1504"/>
      <c r="AL44" s="1504"/>
      <c r="AM44" s="1504"/>
      <c r="AN44" s="1504"/>
      <c r="AO44" s="1504"/>
      <c r="AP44" s="1504"/>
      <c r="AQ44" s="1504"/>
      <c r="AR44" s="1504"/>
      <c r="AS44" s="1504"/>
      <c r="AT44" s="1504"/>
      <c r="AU44" s="1504"/>
      <c r="AV44" s="1504"/>
      <c r="AW44" s="1504"/>
      <c r="AX44" s="1504"/>
      <c r="AY44" s="1504"/>
      <c r="AZ44" s="1550"/>
    </row>
    <row r="45" spans="1:52" ht="13.5" customHeight="1">
      <c r="A45" s="1548"/>
      <c r="B45" s="1549"/>
      <c r="C45" s="1549"/>
      <c r="D45" s="1549"/>
      <c r="E45" s="1549"/>
      <c r="F45" s="1549"/>
      <c r="G45" s="1549"/>
      <c r="H45" s="1549"/>
      <c r="I45" s="1549"/>
      <c r="J45" s="1549"/>
      <c r="K45" s="1549"/>
      <c r="L45" s="1549"/>
      <c r="M45" s="1549"/>
      <c r="N45" s="1549"/>
      <c r="O45" s="1549"/>
      <c r="P45" s="1413"/>
      <c r="Q45" s="1413"/>
      <c r="R45" s="1413"/>
      <c r="S45" s="1413"/>
      <c r="T45" s="1413"/>
      <c r="U45" s="1413"/>
      <c r="V45" s="1413"/>
      <c r="W45" s="1413"/>
      <c r="X45" s="1413"/>
      <c r="Y45" s="1413"/>
      <c r="Z45" s="1413"/>
      <c r="AA45" s="1413"/>
      <c r="AB45" s="1413"/>
      <c r="AC45" s="1413"/>
      <c r="AD45" s="1504"/>
      <c r="AE45" s="1504"/>
      <c r="AF45" s="1504"/>
      <c r="AG45" s="1504"/>
      <c r="AH45" s="1504"/>
      <c r="AI45" s="1504"/>
      <c r="AJ45" s="1504"/>
      <c r="AK45" s="1504"/>
      <c r="AL45" s="1504"/>
      <c r="AM45" s="1504"/>
      <c r="AN45" s="1504"/>
      <c r="AO45" s="1504"/>
      <c r="AP45" s="1504"/>
      <c r="AQ45" s="1504"/>
      <c r="AR45" s="1504"/>
      <c r="AS45" s="1504"/>
      <c r="AT45" s="1504"/>
      <c r="AU45" s="1504"/>
      <c r="AV45" s="1504"/>
      <c r="AW45" s="1504"/>
      <c r="AX45" s="1504"/>
      <c r="AY45" s="1504"/>
      <c r="AZ45" s="1550"/>
    </row>
    <row r="46" spans="1:52" ht="12.75" customHeight="1">
      <c r="A46" s="1548"/>
      <c r="B46" s="1549"/>
      <c r="C46" s="1549"/>
      <c r="D46" s="1549"/>
      <c r="E46" s="1549"/>
      <c r="F46" s="1549"/>
      <c r="G46" s="1549"/>
      <c r="H46" s="1549"/>
      <c r="I46" s="1549"/>
      <c r="J46" s="1549"/>
      <c r="K46" s="1549"/>
      <c r="L46" s="1549"/>
      <c r="M46" s="1549"/>
      <c r="N46" s="1549"/>
      <c r="O46" s="1549"/>
      <c r="P46" s="1413"/>
      <c r="Q46" s="1413"/>
      <c r="R46" s="1413"/>
      <c r="S46" s="1413"/>
      <c r="T46" s="1413"/>
      <c r="U46" s="1413"/>
      <c r="V46" s="1413"/>
      <c r="W46" s="1413"/>
      <c r="X46" s="1413"/>
      <c r="Y46" s="1413"/>
      <c r="Z46" s="1413"/>
      <c r="AA46" s="1413"/>
      <c r="AB46" s="1413"/>
      <c r="AC46" s="1413"/>
      <c r="AD46" s="1504"/>
      <c r="AE46" s="1504"/>
      <c r="AF46" s="1504"/>
      <c r="AG46" s="1504"/>
      <c r="AH46" s="1504"/>
      <c r="AI46" s="1504"/>
      <c r="AJ46" s="1504"/>
      <c r="AK46" s="1504"/>
      <c r="AL46" s="1504"/>
      <c r="AM46" s="1504"/>
      <c r="AN46" s="1504"/>
      <c r="AO46" s="1504"/>
      <c r="AP46" s="1504"/>
      <c r="AQ46" s="1504"/>
      <c r="AR46" s="1504"/>
      <c r="AS46" s="1504"/>
      <c r="AT46" s="1504"/>
      <c r="AU46" s="1504"/>
      <c r="AV46" s="1504"/>
      <c r="AW46" s="1504"/>
      <c r="AX46" s="1504"/>
      <c r="AY46" s="1504"/>
      <c r="AZ46" s="1550"/>
    </row>
    <row r="47" spans="1:52" ht="13.5" customHeight="1" thickBot="1">
      <c r="A47" s="1553"/>
      <c r="B47" s="1554"/>
      <c r="C47" s="1554"/>
      <c r="D47" s="1554"/>
      <c r="E47" s="1554"/>
      <c r="F47" s="1554"/>
      <c r="G47" s="1554"/>
      <c r="H47" s="1554"/>
      <c r="I47" s="1554"/>
      <c r="J47" s="1554"/>
      <c r="K47" s="1554"/>
      <c r="L47" s="1554"/>
      <c r="M47" s="1554"/>
      <c r="N47" s="1554"/>
      <c r="O47" s="1554"/>
      <c r="P47" s="1453"/>
      <c r="Q47" s="1453"/>
      <c r="R47" s="1453"/>
      <c r="S47" s="1453"/>
      <c r="T47" s="1453"/>
      <c r="U47" s="1453"/>
      <c r="V47" s="1453"/>
      <c r="W47" s="1453"/>
      <c r="X47" s="1453"/>
      <c r="Y47" s="1453"/>
      <c r="Z47" s="1453"/>
      <c r="AA47" s="1453"/>
      <c r="AB47" s="1453"/>
      <c r="AC47" s="1453"/>
      <c r="AD47" s="1506"/>
      <c r="AE47" s="1506"/>
      <c r="AF47" s="1506"/>
      <c r="AG47" s="1506"/>
      <c r="AH47" s="1506"/>
      <c r="AI47" s="1506"/>
      <c r="AJ47" s="1506"/>
      <c r="AK47" s="1506"/>
      <c r="AL47" s="1506"/>
      <c r="AM47" s="1506"/>
      <c r="AN47" s="1506"/>
      <c r="AO47" s="1506"/>
      <c r="AP47" s="1506"/>
      <c r="AQ47" s="1506"/>
      <c r="AR47" s="1506"/>
      <c r="AS47" s="1506"/>
      <c r="AT47" s="1506"/>
      <c r="AU47" s="1506"/>
      <c r="AV47" s="1506"/>
      <c r="AW47" s="1506"/>
      <c r="AX47" s="1506"/>
      <c r="AY47" s="1506"/>
      <c r="AZ47" s="1555"/>
    </row>
    <row r="48" spans="1:52" ht="13.5" thickBot="1">
      <c r="A48" s="629"/>
      <c r="B48" s="629"/>
      <c r="C48" s="629"/>
      <c r="D48" s="629"/>
      <c r="E48" s="629"/>
      <c r="F48" s="629"/>
      <c r="G48" s="629"/>
      <c r="H48" s="629"/>
      <c r="I48" s="629"/>
      <c r="J48" s="629"/>
      <c r="K48" s="629"/>
      <c r="L48" s="629"/>
      <c r="M48" s="629"/>
      <c r="N48" s="629"/>
      <c r="O48" s="629"/>
      <c r="P48" s="629"/>
      <c r="Q48" s="629"/>
      <c r="R48" s="629"/>
      <c r="S48" s="629"/>
      <c r="T48" s="629"/>
      <c r="U48" s="629"/>
      <c r="V48" s="629"/>
      <c r="W48" s="629"/>
      <c r="X48" s="629"/>
      <c r="Y48" s="629"/>
      <c r="Z48" s="629"/>
      <c r="AA48" s="629"/>
      <c r="AB48" s="629"/>
      <c r="AC48" s="629"/>
      <c r="AD48" s="629"/>
      <c r="AE48" s="629"/>
      <c r="AF48" s="629"/>
      <c r="AG48" s="629"/>
      <c r="AH48" s="629"/>
      <c r="AI48" s="629"/>
      <c r="AJ48" s="629"/>
      <c r="AK48" s="629"/>
      <c r="AL48" s="629"/>
      <c r="AM48" s="629"/>
      <c r="AN48" s="629"/>
      <c r="AO48" s="629"/>
      <c r="AP48" s="629"/>
      <c r="AQ48" s="629"/>
      <c r="AR48" s="629"/>
      <c r="AS48" s="629"/>
      <c r="AT48" s="629"/>
      <c r="AU48" s="629"/>
      <c r="AV48" s="629"/>
      <c r="AW48" s="629"/>
      <c r="AX48" s="629"/>
      <c r="AY48" s="629"/>
      <c r="AZ48" s="629"/>
    </row>
    <row r="49" spans="1:52">
      <c r="A49" s="1493" t="s">
        <v>119</v>
      </c>
      <c r="B49" s="1494"/>
      <c r="C49" s="1494"/>
      <c r="D49" s="1494"/>
      <c r="E49" s="1494"/>
      <c r="F49" s="1494"/>
      <c r="G49" s="1494"/>
      <c r="H49" s="1494"/>
      <c r="I49" s="1494"/>
      <c r="J49" s="1494"/>
      <c r="K49" s="1494"/>
      <c r="L49" s="1494"/>
      <c r="M49" s="1494"/>
      <c r="N49" s="1494"/>
      <c r="O49" s="1494"/>
      <c r="P49" s="1494"/>
      <c r="Q49" s="1494"/>
      <c r="R49" s="1494"/>
      <c r="S49" s="1494"/>
      <c r="T49" s="1494"/>
      <c r="U49" s="1494"/>
      <c r="V49" s="1494"/>
      <c r="W49" s="1494"/>
      <c r="X49" s="1494"/>
      <c r="Y49" s="1494"/>
      <c r="Z49" s="1494"/>
      <c r="AA49" s="1494"/>
      <c r="AB49" s="1494"/>
      <c r="AC49" s="1494"/>
      <c r="AD49" s="1494"/>
      <c r="AE49" s="1494"/>
      <c r="AF49" s="1494"/>
      <c r="AG49" s="1494"/>
      <c r="AH49" s="1494"/>
      <c r="AI49" s="1494"/>
      <c r="AJ49" s="1494"/>
      <c r="AK49" s="1494"/>
      <c r="AL49" s="1494"/>
      <c r="AM49" s="1494"/>
      <c r="AN49" s="1494"/>
      <c r="AO49" s="1494"/>
      <c r="AP49" s="1494"/>
      <c r="AQ49" s="1494"/>
      <c r="AR49" s="1494"/>
      <c r="AS49" s="1494"/>
      <c r="AT49" s="1494"/>
      <c r="AU49" s="1494"/>
      <c r="AV49" s="1494"/>
      <c r="AW49" s="1494"/>
      <c r="AX49" s="1494"/>
      <c r="AY49" s="1494"/>
      <c r="AZ49" s="1495"/>
    </row>
    <row r="50" spans="1:52">
      <c r="A50" s="1496"/>
      <c r="B50" s="1497"/>
      <c r="C50" s="1497"/>
      <c r="D50" s="1497"/>
      <c r="E50" s="1497"/>
      <c r="F50" s="1497"/>
      <c r="G50" s="1497"/>
      <c r="H50" s="1497"/>
      <c r="I50" s="1497"/>
      <c r="J50" s="1497"/>
      <c r="K50" s="1497"/>
      <c r="L50" s="1497"/>
      <c r="M50" s="1497"/>
      <c r="N50" s="1497"/>
      <c r="O50" s="1497"/>
      <c r="P50" s="1497"/>
      <c r="Q50" s="1497"/>
      <c r="R50" s="1497"/>
      <c r="S50" s="1497"/>
      <c r="T50" s="1497"/>
      <c r="U50" s="1497"/>
      <c r="V50" s="1497"/>
      <c r="W50" s="1497"/>
      <c r="X50" s="1497"/>
      <c r="Y50" s="1497"/>
      <c r="Z50" s="1497"/>
      <c r="AA50" s="1497"/>
      <c r="AB50" s="1497"/>
      <c r="AC50" s="1497"/>
      <c r="AD50" s="1497"/>
      <c r="AE50" s="1497"/>
      <c r="AF50" s="1497"/>
      <c r="AG50" s="1497"/>
      <c r="AH50" s="1497"/>
      <c r="AI50" s="1497"/>
      <c r="AJ50" s="1497"/>
      <c r="AK50" s="1497"/>
      <c r="AL50" s="1497"/>
      <c r="AM50" s="1497"/>
      <c r="AN50" s="1497"/>
      <c r="AO50" s="1497"/>
      <c r="AP50" s="1497"/>
      <c r="AQ50" s="1497"/>
      <c r="AR50" s="1497"/>
      <c r="AS50" s="1497"/>
      <c r="AT50" s="1497"/>
      <c r="AU50" s="1497"/>
      <c r="AV50" s="1497"/>
      <c r="AW50" s="1497"/>
      <c r="AX50" s="1497"/>
      <c r="AY50" s="1497"/>
      <c r="AZ50" s="1498"/>
    </row>
    <row r="51" spans="1:52" ht="12.75" customHeight="1">
      <c r="A51" s="1551" t="str">
        <f>VLOOKUP("Duchgeführt",Translations!$A:$T,MATCH(Cover!DR19,Translations!A2:P2,0),0)</f>
        <v>Performed</v>
      </c>
      <c r="B51" s="1552"/>
      <c r="C51" s="1552"/>
      <c r="D51" s="1552"/>
      <c r="E51" s="1552"/>
      <c r="F51" s="1552"/>
      <c r="G51" s="1552"/>
      <c r="H51" s="1552"/>
      <c r="I51" s="1552"/>
      <c r="J51" s="1552"/>
      <c r="K51" s="1552"/>
      <c r="L51" s="1552"/>
      <c r="M51" s="1552"/>
      <c r="N51" s="1552"/>
      <c r="O51" s="1552"/>
      <c r="P51" s="1413" t="str">
        <f>VLOOKUP("Ja",Translations!$A:$T,MATCH(Cover!DR19,Translations!A2:P2,0),0)</f>
        <v>Yes</v>
      </c>
      <c r="Q51" s="1413"/>
      <c r="R51" s="1413"/>
      <c r="S51" s="1413"/>
      <c r="T51" s="1413"/>
      <c r="U51" s="1413"/>
      <c r="V51" s="1413"/>
      <c r="W51" s="1413" t="str">
        <f>VLOOKUP("Nein",Translations!$A:$T,MATCH(Cover!DR19,Translations!A2:P2,0),0)</f>
        <v>No</v>
      </c>
      <c r="X51" s="1413"/>
      <c r="Y51" s="1413"/>
      <c r="Z51" s="1413"/>
      <c r="AA51" s="1413"/>
      <c r="AB51" s="1413"/>
      <c r="AC51" s="1413"/>
      <c r="AD51" s="1504"/>
      <c r="AE51" s="1504"/>
      <c r="AF51" s="1504"/>
      <c r="AG51" s="1504"/>
      <c r="AH51" s="1504"/>
      <c r="AI51" s="1504"/>
      <c r="AJ51" s="1504"/>
      <c r="AK51" s="1504"/>
      <c r="AL51" s="1504"/>
      <c r="AM51" s="1504"/>
      <c r="AN51" s="1504"/>
      <c r="AO51" s="1504"/>
      <c r="AP51" s="1504"/>
      <c r="AQ51" s="1504"/>
      <c r="AR51" s="1504"/>
      <c r="AS51" s="1504"/>
      <c r="AT51" s="1504"/>
      <c r="AU51" s="1504"/>
      <c r="AV51" s="1504"/>
      <c r="AW51" s="1504"/>
      <c r="AX51" s="1504"/>
      <c r="AY51" s="1504"/>
      <c r="AZ51" s="1550"/>
    </row>
    <row r="52" spans="1:52" ht="13.5" customHeight="1">
      <c r="A52" s="1551"/>
      <c r="B52" s="1552"/>
      <c r="C52" s="1552"/>
      <c r="D52" s="1552"/>
      <c r="E52" s="1552"/>
      <c r="F52" s="1552"/>
      <c r="G52" s="1552"/>
      <c r="H52" s="1552"/>
      <c r="I52" s="1552"/>
      <c r="J52" s="1552"/>
      <c r="K52" s="1552"/>
      <c r="L52" s="1552"/>
      <c r="M52" s="1552"/>
      <c r="N52" s="1552"/>
      <c r="O52" s="1552"/>
      <c r="P52" s="1413"/>
      <c r="Q52" s="1413"/>
      <c r="R52" s="1413"/>
      <c r="S52" s="1413"/>
      <c r="T52" s="1413"/>
      <c r="U52" s="1413"/>
      <c r="V52" s="1413"/>
      <c r="W52" s="1413"/>
      <c r="X52" s="1413"/>
      <c r="Y52" s="1413"/>
      <c r="Z52" s="1413"/>
      <c r="AA52" s="1413"/>
      <c r="AB52" s="1413"/>
      <c r="AC52" s="1413"/>
      <c r="AD52" s="1504"/>
      <c r="AE52" s="1504"/>
      <c r="AF52" s="1504"/>
      <c r="AG52" s="1504"/>
      <c r="AH52" s="1504"/>
      <c r="AI52" s="1504"/>
      <c r="AJ52" s="1504"/>
      <c r="AK52" s="1504"/>
      <c r="AL52" s="1504"/>
      <c r="AM52" s="1504"/>
      <c r="AN52" s="1504"/>
      <c r="AO52" s="1504"/>
      <c r="AP52" s="1504"/>
      <c r="AQ52" s="1504"/>
      <c r="AR52" s="1504"/>
      <c r="AS52" s="1504"/>
      <c r="AT52" s="1504"/>
      <c r="AU52" s="1504"/>
      <c r="AV52" s="1504"/>
      <c r="AW52" s="1504"/>
      <c r="AX52" s="1504"/>
      <c r="AY52" s="1504"/>
      <c r="AZ52" s="1550"/>
    </row>
    <row r="53" spans="1:52" ht="12.75" customHeight="1">
      <c r="A53" s="1551" t="str">
        <f>VLOOKUP("Version",Translations!$A:$T,MATCH(Cover!DR19,Translations!A2:P2,0),0)</f>
        <v>Version</v>
      </c>
      <c r="B53" s="1552"/>
      <c r="C53" s="1552"/>
      <c r="D53" s="1552"/>
      <c r="E53" s="1552"/>
      <c r="F53" s="1552"/>
      <c r="G53" s="1552"/>
      <c r="H53" s="1552"/>
      <c r="I53" s="1552"/>
      <c r="J53" s="1552"/>
      <c r="K53" s="1552"/>
      <c r="L53" s="1552"/>
      <c r="M53" s="1552"/>
      <c r="N53" s="1552"/>
      <c r="O53" s="1552"/>
      <c r="P53" s="1413"/>
      <c r="Q53" s="1413"/>
      <c r="R53" s="1413"/>
      <c r="S53" s="1413"/>
      <c r="T53" s="1413"/>
      <c r="U53" s="1413"/>
      <c r="V53" s="1413"/>
      <c r="W53" s="1413"/>
      <c r="X53" s="1413"/>
      <c r="Y53" s="1413"/>
      <c r="Z53" s="1413"/>
      <c r="AA53" s="1413"/>
      <c r="AB53" s="1413"/>
      <c r="AC53" s="1413"/>
      <c r="AD53" s="1504"/>
      <c r="AE53" s="1504"/>
      <c r="AF53" s="1504"/>
      <c r="AG53" s="1504"/>
      <c r="AH53" s="1504"/>
      <c r="AI53" s="1504"/>
      <c r="AJ53" s="1504"/>
      <c r="AK53" s="1504"/>
      <c r="AL53" s="1504"/>
      <c r="AM53" s="1504"/>
      <c r="AN53" s="1504"/>
      <c r="AO53" s="1504"/>
      <c r="AP53" s="1504"/>
      <c r="AQ53" s="1504"/>
      <c r="AR53" s="1504"/>
      <c r="AS53" s="1504"/>
      <c r="AT53" s="1504"/>
      <c r="AU53" s="1504"/>
      <c r="AV53" s="1504"/>
      <c r="AW53" s="1504"/>
      <c r="AX53" s="1504"/>
      <c r="AY53" s="1504"/>
      <c r="AZ53" s="1550"/>
    </row>
    <row r="54" spans="1:52" ht="13.5" customHeight="1">
      <c r="A54" s="1551"/>
      <c r="B54" s="1552"/>
      <c r="C54" s="1552"/>
      <c r="D54" s="1552"/>
      <c r="E54" s="1552"/>
      <c r="F54" s="1552"/>
      <c r="G54" s="1552"/>
      <c r="H54" s="1552"/>
      <c r="I54" s="1552"/>
      <c r="J54" s="1552"/>
      <c r="K54" s="1552"/>
      <c r="L54" s="1552"/>
      <c r="M54" s="1552"/>
      <c r="N54" s="1552"/>
      <c r="O54" s="1552"/>
      <c r="P54" s="1413"/>
      <c r="Q54" s="1413"/>
      <c r="R54" s="1413"/>
      <c r="S54" s="1413"/>
      <c r="T54" s="1413"/>
      <c r="U54" s="1413"/>
      <c r="V54" s="1413"/>
      <c r="W54" s="1413"/>
      <c r="X54" s="1413"/>
      <c r="Y54" s="1413"/>
      <c r="Z54" s="1413"/>
      <c r="AA54" s="1413"/>
      <c r="AB54" s="1413"/>
      <c r="AC54" s="1413"/>
      <c r="AD54" s="1504"/>
      <c r="AE54" s="1504"/>
      <c r="AF54" s="1504"/>
      <c r="AG54" s="1504"/>
      <c r="AH54" s="1504"/>
      <c r="AI54" s="1504"/>
      <c r="AJ54" s="1504"/>
      <c r="AK54" s="1504"/>
      <c r="AL54" s="1504"/>
      <c r="AM54" s="1504"/>
      <c r="AN54" s="1504"/>
      <c r="AO54" s="1504"/>
      <c r="AP54" s="1504"/>
      <c r="AQ54" s="1504"/>
      <c r="AR54" s="1504"/>
      <c r="AS54" s="1504"/>
      <c r="AT54" s="1504"/>
      <c r="AU54" s="1504"/>
      <c r="AV54" s="1504"/>
      <c r="AW54" s="1504"/>
      <c r="AX54" s="1504"/>
      <c r="AY54" s="1504"/>
      <c r="AZ54" s="1550"/>
    </row>
    <row r="55" spans="1:52" ht="12.75" customHeight="1">
      <c r="A55" s="1551" t="str">
        <f>VLOOKUP("Ergebnis",Translations!$A:$T,MATCH(Cover!DR19,Translations!A2:P2,0),0)</f>
        <v>Result</v>
      </c>
      <c r="B55" s="1552"/>
      <c r="C55" s="1552"/>
      <c r="D55" s="1552"/>
      <c r="E55" s="1552"/>
      <c r="F55" s="1552"/>
      <c r="G55" s="1552"/>
      <c r="H55" s="1552"/>
      <c r="I55" s="1552"/>
      <c r="J55" s="1552"/>
      <c r="K55" s="1552"/>
      <c r="L55" s="1552"/>
      <c r="M55" s="1552"/>
      <c r="N55" s="1552"/>
      <c r="O55" s="1552"/>
      <c r="P55" s="1413" t="str">
        <f>VLOOKUP("erfolgreich",Translations!$A:$T,MATCH(Cover!DR19,Translations!A2:P2,0),0)</f>
        <v>successful</v>
      </c>
      <c r="Q55" s="1413"/>
      <c r="R55" s="1413"/>
      <c r="S55" s="1413"/>
      <c r="T55" s="1413"/>
      <c r="U55" s="1413"/>
      <c r="V55" s="1413"/>
      <c r="W55" s="1413" t="str">
        <f>VLOOKUP("nicht erfolgreich",Translations!$A:$T,MATCH(Cover!DR19,Translations!A2:P2,0),0)</f>
        <v>not successful</v>
      </c>
      <c r="X55" s="1413"/>
      <c r="Y55" s="1413"/>
      <c r="Z55" s="1413"/>
      <c r="AA55" s="1413"/>
      <c r="AB55" s="1413"/>
      <c r="AC55" s="1413"/>
      <c r="AD55" s="1504"/>
      <c r="AE55" s="1504"/>
      <c r="AF55" s="1504"/>
      <c r="AG55" s="1504"/>
      <c r="AH55" s="1504"/>
      <c r="AI55" s="1504"/>
      <c r="AJ55" s="1504"/>
      <c r="AK55" s="1504"/>
      <c r="AL55" s="1504"/>
      <c r="AM55" s="1504"/>
      <c r="AN55" s="1504"/>
      <c r="AO55" s="1504"/>
      <c r="AP55" s="1504"/>
      <c r="AQ55" s="1504"/>
      <c r="AR55" s="1504"/>
      <c r="AS55" s="1504"/>
      <c r="AT55" s="1504"/>
      <c r="AU55" s="1504"/>
      <c r="AV55" s="1504"/>
      <c r="AW55" s="1504"/>
      <c r="AX55" s="1504"/>
      <c r="AY55" s="1504"/>
      <c r="AZ55" s="1550"/>
    </row>
    <row r="56" spans="1:52" ht="13.5" customHeight="1">
      <c r="A56" s="1551"/>
      <c r="B56" s="1552"/>
      <c r="C56" s="1552"/>
      <c r="D56" s="1552"/>
      <c r="E56" s="1552"/>
      <c r="F56" s="1552"/>
      <c r="G56" s="1552"/>
      <c r="H56" s="1552"/>
      <c r="I56" s="1552"/>
      <c r="J56" s="1552"/>
      <c r="K56" s="1552"/>
      <c r="L56" s="1552"/>
      <c r="M56" s="1552"/>
      <c r="N56" s="1552"/>
      <c r="O56" s="1552"/>
      <c r="P56" s="1413"/>
      <c r="Q56" s="1413"/>
      <c r="R56" s="1413"/>
      <c r="S56" s="1413"/>
      <c r="T56" s="1413"/>
      <c r="U56" s="1413"/>
      <c r="V56" s="1413"/>
      <c r="W56" s="1413"/>
      <c r="X56" s="1413"/>
      <c r="Y56" s="1413"/>
      <c r="Z56" s="1413"/>
      <c r="AA56" s="1413"/>
      <c r="AB56" s="1413"/>
      <c r="AC56" s="1413"/>
      <c r="AD56" s="1504"/>
      <c r="AE56" s="1504"/>
      <c r="AF56" s="1504"/>
      <c r="AG56" s="1504"/>
      <c r="AH56" s="1504"/>
      <c r="AI56" s="1504"/>
      <c r="AJ56" s="1504"/>
      <c r="AK56" s="1504"/>
      <c r="AL56" s="1504"/>
      <c r="AM56" s="1504"/>
      <c r="AN56" s="1504"/>
      <c r="AO56" s="1504"/>
      <c r="AP56" s="1504"/>
      <c r="AQ56" s="1504"/>
      <c r="AR56" s="1504"/>
      <c r="AS56" s="1504"/>
      <c r="AT56" s="1504"/>
      <c r="AU56" s="1504"/>
      <c r="AV56" s="1504"/>
      <c r="AW56" s="1504"/>
      <c r="AX56" s="1504"/>
      <c r="AY56" s="1504"/>
      <c r="AZ56" s="1550"/>
    </row>
    <row r="57" spans="1:52" ht="12.75" customHeight="1">
      <c r="A57" s="1551" t="str">
        <f>VLOOKUP("Anzahl offener Punkte",Translations!$A:$T,MATCH(Cover!DR19,Translations!A2:P2,0),0)</f>
        <v>Number of points outstanding</v>
      </c>
      <c r="B57" s="1552"/>
      <c r="C57" s="1552"/>
      <c r="D57" s="1552"/>
      <c r="E57" s="1552"/>
      <c r="F57" s="1552"/>
      <c r="G57" s="1552"/>
      <c r="H57" s="1552"/>
      <c r="I57" s="1552"/>
      <c r="J57" s="1552"/>
      <c r="K57" s="1552"/>
      <c r="L57" s="1552"/>
      <c r="M57" s="1552"/>
      <c r="N57" s="1552"/>
      <c r="O57" s="1552"/>
      <c r="P57" s="1413"/>
      <c r="Q57" s="1413"/>
      <c r="R57" s="1413"/>
      <c r="S57" s="1413"/>
      <c r="T57" s="1413"/>
      <c r="U57" s="1413"/>
      <c r="V57" s="1413"/>
      <c r="W57" s="1413"/>
      <c r="X57" s="1413"/>
      <c r="Y57" s="1413"/>
      <c r="Z57" s="1413"/>
      <c r="AA57" s="1413"/>
      <c r="AB57" s="1413"/>
      <c r="AC57" s="1413"/>
      <c r="AD57" s="1504"/>
      <c r="AE57" s="1504"/>
      <c r="AF57" s="1504"/>
      <c r="AG57" s="1504"/>
      <c r="AH57" s="1504"/>
      <c r="AI57" s="1504"/>
      <c r="AJ57" s="1504"/>
      <c r="AK57" s="1504"/>
      <c r="AL57" s="1504"/>
      <c r="AM57" s="1504"/>
      <c r="AN57" s="1504"/>
      <c r="AO57" s="1504"/>
      <c r="AP57" s="1504"/>
      <c r="AQ57" s="1504"/>
      <c r="AR57" s="1504"/>
      <c r="AS57" s="1504"/>
      <c r="AT57" s="1504"/>
      <c r="AU57" s="1504"/>
      <c r="AV57" s="1504"/>
      <c r="AW57" s="1504"/>
      <c r="AX57" s="1504"/>
      <c r="AY57" s="1504"/>
      <c r="AZ57" s="1550"/>
    </row>
    <row r="58" spans="1:52" ht="13.5" customHeight="1">
      <c r="A58" s="1551"/>
      <c r="B58" s="1552"/>
      <c r="C58" s="1552"/>
      <c r="D58" s="1552"/>
      <c r="E58" s="1552"/>
      <c r="F58" s="1552"/>
      <c r="G58" s="1552"/>
      <c r="H58" s="1552"/>
      <c r="I58" s="1552"/>
      <c r="J58" s="1552"/>
      <c r="K58" s="1552"/>
      <c r="L58" s="1552"/>
      <c r="M58" s="1552"/>
      <c r="N58" s="1552"/>
      <c r="O58" s="1552"/>
      <c r="P58" s="1413"/>
      <c r="Q58" s="1413"/>
      <c r="R58" s="1413"/>
      <c r="S58" s="1413"/>
      <c r="T58" s="1413"/>
      <c r="U58" s="1413"/>
      <c r="V58" s="1413"/>
      <c r="W58" s="1413"/>
      <c r="X58" s="1413"/>
      <c r="Y58" s="1413"/>
      <c r="Z58" s="1413"/>
      <c r="AA58" s="1413"/>
      <c r="AB58" s="1413"/>
      <c r="AC58" s="1413"/>
      <c r="AD58" s="1504"/>
      <c r="AE58" s="1504"/>
      <c r="AF58" s="1504"/>
      <c r="AG58" s="1504"/>
      <c r="AH58" s="1504"/>
      <c r="AI58" s="1504"/>
      <c r="AJ58" s="1504"/>
      <c r="AK58" s="1504"/>
      <c r="AL58" s="1504"/>
      <c r="AM58" s="1504"/>
      <c r="AN58" s="1504"/>
      <c r="AO58" s="1504"/>
      <c r="AP58" s="1504"/>
      <c r="AQ58" s="1504"/>
      <c r="AR58" s="1504"/>
      <c r="AS58" s="1504"/>
      <c r="AT58" s="1504"/>
      <c r="AU58" s="1504"/>
      <c r="AV58" s="1504"/>
      <c r="AW58" s="1504"/>
      <c r="AX58" s="1504"/>
      <c r="AY58" s="1504"/>
      <c r="AZ58" s="1550"/>
    </row>
    <row r="59" spans="1:52" ht="12.75" customHeight="1">
      <c r="A59" s="1548"/>
      <c r="B59" s="1549"/>
      <c r="C59" s="1549"/>
      <c r="D59" s="1549"/>
      <c r="E59" s="1549"/>
      <c r="F59" s="1549"/>
      <c r="G59" s="1549"/>
      <c r="H59" s="1549"/>
      <c r="I59" s="1549"/>
      <c r="J59" s="1549"/>
      <c r="K59" s="1549"/>
      <c r="L59" s="1549"/>
      <c r="M59" s="1549"/>
      <c r="N59" s="1549"/>
      <c r="O59" s="1549"/>
      <c r="P59" s="1413"/>
      <c r="Q59" s="1413"/>
      <c r="R59" s="1413"/>
      <c r="S59" s="1413"/>
      <c r="T59" s="1413"/>
      <c r="U59" s="1413"/>
      <c r="V59" s="1413"/>
      <c r="W59" s="1413"/>
      <c r="X59" s="1413"/>
      <c r="Y59" s="1413"/>
      <c r="Z59" s="1413"/>
      <c r="AA59" s="1413"/>
      <c r="AB59" s="1413"/>
      <c r="AC59" s="1413"/>
      <c r="AD59" s="1504"/>
      <c r="AE59" s="1504"/>
      <c r="AF59" s="1504"/>
      <c r="AG59" s="1504"/>
      <c r="AH59" s="1504"/>
      <c r="AI59" s="1504"/>
      <c r="AJ59" s="1504"/>
      <c r="AK59" s="1504"/>
      <c r="AL59" s="1504"/>
      <c r="AM59" s="1504"/>
      <c r="AN59" s="1504"/>
      <c r="AO59" s="1504"/>
      <c r="AP59" s="1504"/>
      <c r="AQ59" s="1504"/>
      <c r="AR59" s="1504"/>
      <c r="AS59" s="1504"/>
      <c r="AT59" s="1504"/>
      <c r="AU59" s="1504"/>
      <c r="AV59" s="1504"/>
      <c r="AW59" s="1504"/>
      <c r="AX59" s="1504"/>
      <c r="AY59" s="1504"/>
      <c r="AZ59" s="1550"/>
    </row>
    <row r="60" spans="1:52" ht="13.5" customHeight="1">
      <c r="A60" s="1548"/>
      <c r="B60" s="1549"/>
      <c r="C60" s="1549"/>
      <c r="D60" s="1549"/>
      <c r="E60" s="1549"/>
      <c r="F60" s="1549"/>
      <c r="G60" s="1549"/>
      <c r="H60" s="1549"/>
      <c r="I60" s="1549"/>
      <c r="J60" s="1549"/>
      <c r="K60" s="1549"/>
      <c r="L60" s="1549"/>
      <c r="M60" s="1549"/>
      <c r="N60" s="1549"/>
      <c r="O60" s="1549"/>
      <c r="P60" s="1413"/>
      <c r="Q60" s="1413"/>
      <c r="R60" s="1413"/>
      <c r="S60" s="1413"/>
      <c r="T60" s="1413"/>
      <c r="U60" s="1413"/>
      <c r="V60" s="1413"/>
      <c r="W60" s="1413"/>
      <c r="X60" s="1413"/>
      <c r="Y60" s="1413"/>
      <c r="Z60" s="1413"/>
      <c r="AA60" s="1413"/>
      <c r="AB60" s="1413"/>
      <c r="AC60" s="1413"/>
      <c r="AD60" s="1504"/>
      <c r="AE60" s="1504"/>
      <c r="AF60" s="1504"/>
      <c r="AG60" s="1504"/>
      <c r="AH60" s="1504"/>
      <c r="AI60" s="1504"/>
      <c r="AJ60" s="1504"/>
      <c r="AK60" s="1504"/>
      <c r="AL60" s="1504"/>
      <c r="AM60" s="1504"/>
      <c r="AN60" s="1504"/>
      <c r="AO60" s="1504"/>
      <c r="AP60" s="1504"/>
      <c r="AQ60" s="1504"/>
      <c r="AR60" s="1504"/>
      <c r="AS60" s="1504"/>
      <c r="AT60" s="1504"/>
      <c r="AU60" s="1504"/>
      <c r="AV60" s="1504"/>
      <c r="AW60" s="1504"/>
      <c r="AX60" s="1504"/>
      <c r="AY60" s="1504"/>
      <c r="AZ60" s="1550"/>
    </row>
    <row r="61" spans="1:52" ht="12.75" customHeight="1">
      <c r="A61" s="1548"/>
      <c r="B61" s="1549"/>
      <c r="C61" s="1549"/>
      <c r="D61" s="1549"/>
      <c r="E61" s="1549"/>
      <c r="F61" s="1549"/>
      <c r="G61" s="1549"/>
      <c r="H61" s="1549"/>
      <c r="I61" s="1549"/>
      <c r="J61" s="1549"/>
      <c r="K61" s="1549"/>
      <c r="L61" s="1549"/>
      <c r="M61" s="1549"/>
      <c r="N61" s="1549"/>
      <c r="O61" s="1549"/>
      <c r="P61" s="1413"/>
      <c r="Q61" s="1413"/>
      <c r="R61" s="1413"/>
      <c r="S61" s="1413"/>
      <c r="T61" s="1413"/>
      <c r="U61" s="1413"/>
      <c r="V61" s="1413"/>
      <c r="W61" s="1413"/>
      <c r="X61" s="1413"/>
      <c r="Y61" s="1413"/>
      <c r="Z61" s="1413"/>
      <c r="AA61" s="1413"/>
      <c r="AB61" s="1413"/>
      <c r="AC61" s="1413"/>
      <c r="AD61" s="1504"/>
      <c r="AE61" s="1504"/>
      <c r="AF61" s="1504"/>
      <c r="AG61" s="1504"/>
      <c r="AH61" s="1504"/>
      <c r="AI61" s="1504"/>
      <c r="AJ61" s="1504"/>
      <c r="AK61" s="1504"/>
      <c r="AL61" s="1504"/>
      <c r="AM61" s="1504"/>
      <c r="AN61" s="1504"/>
      <c r="AO61" s="1504"/>
      <c r="AP61" s="1504"/>
      <c r="AQ61" s="1504"/>
      <c r="AR61" s="1504"/>
      <c r="AS61" s="1504"/>
      <c r="AT61" s="1504"/>
      <c r="AU61" s="1504"/>
      <c r="AV61" s="1504"/>
      <c r="AW61" s="1504"/>
      <c r="AX61" s="1504"/>
      <c r="AY61" s="1504"/>
      <c r="AZ61" s="1550"/>
    </row>
    <row r="62" spans="1:52" ht="13.5" customHeight="1" thickBot="1">
      <c r="A62" s="1553"/>
      <c r="B62" s="1554"/>
      <c r="C62" s="1554"/>
      <c r="D62" s="1554"/>
      <c r="E62" s="1554"/>
      <c r="F62" s="1554"/>
      <c r="G62" s="1554"/>
      <c r="H62" s="1554"/>
      <c r="I62" s="1554"/>
      <c r="J62" s="1554"/>
      <c r="K62" s="1554"/>
      <c r="L62" s="1554"/>
      <c r="M62" s="1554"/>
      <c r="N62" s="1554"/>
      <c r="O62" s="1554"/>
      <c r="P62" s="1453"/>
      <c r="Q62" s="1453"/>
      <c r="R62" s="1453"/>
      <c r="S62" s="1453"/>
      <c r="T62" s="1453"/>
      <c r="U62" s="1453"/>
      <c r="V62" s="1453"/>
      <c r="W62" s="1453"/>
      <c r="X62" s="1453"/>
      <c r="Y62" s="1453"/>
      <c r="Z62" s="1453"/>
      <c r="AA62" s="1453"/>
      <c r="AB62" s="1453"/>
      <c r="AC62" s="1453"/>
      <c r="AD62" s="1506"/>
      <c r="AE62" s="1506"/>
      <c r="AF62" s="1506"/>
      <c r="AG62" s="1506"/>
      <c r="AH62" s="1506"/>
      <c r="AI62" s="1506"/>
      <c r="AJ62" s="1506"/>
      <c r="AK62" s="1506"/>
      <c r="AL62" s="1506"/>
      <c r="AM62" s="1506"/>
      <c r="AN62" s="1506"/>
      <c r="AO62" s="1506"/>
      <c r="AP62" s="1506"/>
      <c r="AQ62" s="1506"/>
      <c r="AR62" s="1506"/>
      <c r="AS62" s="1506"/>
      <c r="AT62" s="1506"/>
      <c r="AU62" s="1506"/>
      <c r="AV62" s="1506"/>
      <c r="AW62" s="1506"/>
      <c r="AX62" s="1506"/>
      <c r="AY62" s="1506"/>
      <c r="AZ62" s="1555"/>
    </row>
    <row r="63" spans="1:52" ht="13.5" thickBot="1">
      <c r="A63" s="629"/>
      <c r="B63" s="629"/>
      <c r="C63" s="629"/>
      <c r="D63" s="629"/>
      <c r="E63" s="629"/>
      <c r="F63" s="629"/>
      <c r="G63" s="629"/>
      <c r="H63" s="629"/>
      <c r="I63" s="629"/>
      <c r="J63" s="629"/>
      <c r="K63" s="629"/>
      <c r="L63" s="629"/>
      <c r="M63" s="629"/>
      <c r="N63" s="629"/>
      <c r="O63" s="629"/>
      <c r="P63" s="629"/>
      <c r="Q63" s="629"/>
      <c r="R63" s="629"/>
      <c r="S63" s="629"/>
      <c r="T63" s="629"/>
      <c r="U63" s="629"/>
      <c r="V63" s="629"/>
      <c r="W63" s="629"/>
      <c r="X63" s="629"/>
      <c r="Y63" s="629"/>
      <c r="Z63" s="629"/>
      <c r="AA63" s="629"/>
      <c r="AB63" s="629"/>
      <c r="AC63" s="629"/>
      <c r="AD63" s="629"/>
      <c r="AE63" s="629"/>
      <c r="AF63" s="629"/>
      <c r="AG63" s="629"/>
      <c r="AH63" s="629"/>
      <c r="AI63" s="629"/>
      <c r="AJ63" s="629"/>
      <c r="AK63" s="629"/>
      <c r="AL63" s="629"/>
      <c r="AM63" s="629"/>
      <c r="AN63" s="629"/>
      <c r="AO63" s="629"/>
      <c r="AP63" s="629"/>
      <c r="AQ63" s="629"/>
      <c r="AR63" s="629"/>
      <c r="AS63" s="629"/>
      <c r="AT63" s="629"/>
      <c r="AU63" s="629"/>
      <c r="AV63" s="629"/>
      <c r="AW63" s="629"/>
      <c r="AX63" s="629"/>
      <c r="AY63" s="629"/>
      <c r="AZ63" s="629"/>
    </row>
    <row r="64" spans="1:52">
      <c r="A64" s="1493" t="s">
        <v>120</v>
      </c>
      <c r="B64" s="1494"/>
      <c r="C64" s="1494"/>
      <c r="D64" s="1494"/>
      <c r="E64" s="1494"/>
      <c r="F64" s="1494"/>
      <c r="G64" s="1494"/>
      <c r="H64" s="1494"/>
      <c r="I64" s="1494"/>
      <c r="J64" s="1494"/>
      <c r="K64" s="1494"/>
      <c r="L64" s="1494"/>
      <c r="M64" s="1494"/>
      <c r="N64" s="1494"/>
      <c r="O64" s="1494"/>
      <c r="P64" s="1494"/>
      <c r="Q64" s="1494"/>
      <c r="R64" s="1494"/>
      <c r="S64" s="1494"/>
      <c r="T64" s="1494"/>
      <c r="U64" s="1494"/>
      <c r="V64" s="1494"/>
      <c r="W64" s="1494"/>
      <c r="X64" s="1494"/>
      <c r="Y64" s="1494"/>
      <c r="Z64" s="1494"/>
      <c r="AA64" s="1494"/>
      <c r="AB64" s="1494"/>
      <c r="AC64" s="1494"/>
      <c r="AD64" s="1494"/>
      <c r="AE64" s="1494"/>
      <c r="AF64" s="1494"/>
      <c r="AG64" s="1494"/>
      <c r="AH64" s="1494"/>
      <c r="AI64" s="1494"/>
      <c r="AJ64" s="1494"/>
      <c r="AK64" s="1494"/>
      <c r="AL64" s="1494"/>
      <c r="AM64" s="1494"/>
      <c r="AN64" s="1494"/>
      <c r="AO64" s="1494"/>
      <c r="AP64" s="1494"/>
      <c r="AQ64" s="1494"/>
      <c r="AR64" s="1494"/>
      <c r="AS64" s="1494"/>
      <c r="AT64" s="1494"/>
      <c r="AU64" s="1494"/>
      <c r="AV64" s="1494"/>
      <c r="AW64" s="1494"/>
      <c r="AX64" s="1494"/>
      <c r="AY64" s="1494"/>
      <c r="AZ64" s="1495"/>
    </row>
    <row r="65" spans="1:52">
      <c r="A65" s="1496"/>
      <c r="B65" s="1497"/>
      <c r="C65" s="1497"/>
      <c r="D65" s="1497"/>
      <c r="E65" s="1497"/>
      <c r="F65" s="1497"/>
      <c r="G65" s="1497"/>
      <c r="H65" s="1497"/>
      <c r="I65" s="1497"/>
      <c r="J65" s="1497"/>
      <c r="K65" s="1497"/>
      <c r="L65" s="1497"/>
      <c r="M65" s="1497"/>
      <c r="N65" s="1497"/>
      <c r="O65" s="1497"/>
      <c r="P65" s="1497"/>
      <c r="Q65" s="1497"/>
      <c r="R65" s="1497"/>
      <c r="S65" s="1497"/>
      <c r="T65" s="1497"/>
      <c r="U65" s="1497"/>
      <c r="V65" s="1497"/>
      <c r="W65" s="1497"/>
      <c r="X65" s="1497"/>
      <c r="Y65" s="1497"/>
      <c r="Z65" s="1497"/>
      <c r="AA65" s="1497"/>
      <c r="AB65" s="1497"/>
      <c r="AC65" s="1497"/>
      <c r="AD65" s="1497"/>
      <c r="AE65" s="1497"/>
      <c r="AF65" s="1497"/>
      <c r="AG65" s="1497"/>
      <c r="AH65" s="1497"/>
      <c r="AI65" s="1497"/>
      <c r="AJ65" s="1497"/>
      <c r="AK65" s="1497"/>
      <c r="AL65" s="1497"/>
      <c r="AM65" s="1497"/>
      <c r="AN65" s="1497"/>
      <c r="AO65" s="1497"/>
      <c r="AP65" s="1497"/>
      <c r="AQ65" s="1497"/>
      <c r="AR65" s="1497"/>
      <c r="AS65" s="1497"/>
      <c r="AT65" s="1497"/>
      <c r="AU65" s="1497"/>
      <c r="AV65" s="1497"/>
      <c r="AW65" s="1497"/>
      <c r="AX65" s="1497"/>
      <c r="AY65" s="1497"/>
      <c r="AZ65" s="1498"/>
    </row>
    <row r="66" spans="1:52" ht="12.75" customHeight="1">
      <c r="A66" s="1551" t="str">
        <f>VLOOKUP("Duchgeführt",Translations!$A:$T,MATCH(Cover!DR19,Translations!A2:P2,0),0)</f>
        <v>Performed</v>
      </c>
      <c r="B66" s="1552"/>
      <c r="C66" s="1552"/>
      <c r="D66" s="1552"/>
      <c r="E66" s="1552"/>
      <c r="F66" s="1552"/>
      <c r="G66" s="1552"/>
      <c r="H66" s="1552"/>
      <c r="I66" s="1552"/>
      <c r="J66" s="1552"/>
      <c r="K66" s="1552"/>
      <c r="L66" s="1552"/>
      <c r="M66" s="1552"/>
      <c r="N66" s="1552"/>
      <c r="O66" s="1552"/>
      <c r="P66" s="1413" t="str">
        <f>VLOOKUP("Ja",Translations!$A:$T,MATCH(Cover!DR19,Translations!A2:P2,0),0)</f>
        <v>Yes</v>
      </c>
      <c r="Q66" s="1413"/>
      <c r="R66" s="1413"/>
      <c r="S66" s="1413"/>
      <c r="T66" s="1413"/>
      <c r="U66" s="1413"/>
      <c r="V66" s="1413"/>
      <c r="W66" s="1413" t="str">
        <f>VLOOKUP("Nein",Translations!$A:$T,MATCH(Cover!DR19,Translations!A2:P2,0),0)</f>
        <v>No</v>
      </c>
      <c r="X66" s="1413"/>
      <c r="Y66" s="1413"/>
      <c r="Z66" s="1413"/>
      <c r="AA66" s="1413"/>
      <c r="AB66" s="1413"/>
      <c r="AC66" s="1413"/>
      <c r="AD66" s="1504"/>
      <c r="AE66" s="1504"/>
      <c r="AF66" s="1504"/>
      <c r="AG66" s="1504"/>
      <c r="AH66" s="1504"/>
      <c r="AI66" s="1504"/>
      <c r="AJ66" s="1504"/>
      <c r="AK66" s="1504"/>
      <c r="AL66" s="1504"/>
      <c r="AM66" s="1504"/>
      <c r="AN66" s="1504"/>
      <c r="AO66" s="1504"/>
      <c r="AP66" s="1504"/>
      <c r="AQ66" s="1504"/>
      <c r="AR66" s="1504"/>
      <c r="AS66" s="1504"/>
      <c r="AT66" s="1504"/>
      <c r="AU66" s="1504"/>
      <c r="AV66" s="1504"/>
      <c r="AW66" s="1504"/>
      <c r="AX66" s="1504"/>
      <c r="AY66" s="1504"/>
      <c r="AZ66" s="1550"/>
    </row>
    <row r="67" spans="1:52" ht="13.5" customHeight="1">
      <c r="A67" s="1551"/>
      <c r="B67" s="1552"/>
      <c r="C67" s="1552"/>
      <c r="D67" s="1552"/>
      <c r="E67" s="1552"/>
      <c r="F67" s="1552"/>
      <c r="G67" s="1552"/>
      <c r="H67" s="1552"/>
      <c r="I67" s="1552"/>
      <c r="J67" s="1552"/>
      <c r="K67" s="1552"/>
      <c r="L67" s="1552"/>
      <c r="M67" s="1552"/>
      <c r="N67" s="1552"/>
      <c r="O67" s="1552"/>
      <c r="P67" s="1413"/>
      <c r="Q67" s="1413"/>
      <c r="R67" s="1413"/>
      <c r="S67" s="1413"/>
      <c r="T67" s="1413"/>
      <c r="U67" s="1413"/>
      <c r="V67" s="1413"/>
      <c r="W67" s="1413"/>
      <c r="X67" s="1413"/>
      <c r="Y67" s="1413"/>
      <c r="Z67" s="1413"/>
      <c r="AA67" s="1413"/>
      <c r="AB67" s="1413"/>
      <c r="AC67" s="1413"/>
      <c r="AD67" s="1504"/>
      <c r="AE67" s="1504"/>
      <c r="AF67" s="1504"/>
      <c r="AG67" s="1504"/>
      <c r="AH67" s="1504"/>
      <c r="AI67" s="1504"/>
      <c r="AJ67" s="1504"/>
      <c r="AK67" s="1504"/>
      <c r="AL67" s="1504"/>
      <c r="AM67" s="1504"/>
      <c r="AN67" s="1504"/>
      <c r="AO67" s="1504"/>
      <c r="AP67" s="1504"/>
      <c r="AQ67" s="1504"/>
      <c r="AR67" s="1504"/>
      <c r="AS67" s="1504"/>
      <c r="AT67" s="1504"/>
      <c r="AU67" s="1504"/>
      <c r="AV67" s="1504"/>
      <c r="AW67" s="1504"/>
      <c r="AX67" s="1504"/>
      <c r="AY67" s="1504"/>
      <c r="AZ67" s="1550"/>
    </row>
    <row r="68" spans="1:52" ht="12.75" customHeight="1">
      <c r="A68" s="1551" t="str">
        <f>VLOOKUP("Version",Translations!$A:$T,MATCH(Cover!DR19,Translations!A2:P2,0),0)</f>
        <v>Version</v>
      </c>
      <c r="B68" s="1552"/>
      <c r="C68" s="1552"/>
      <c r="D68" s="1552"/>
      <c r="E68" s="1552"/>
      <c r="F68" s="1552"/>
      <c r="G68" s="1552"/>
      <c r="H68" s="1552"/>
      <c r="I68" s="1552"/>
      <c r="J68" s="1552"/>
      <c r="K68" s="1552"/>
      <c r="L68" s="1552"/>
      <c r="M68" s="1552"/>
      <c r="N68" s="1552"/>
      <c r="O68" s="1552"/>
      <c r="P68" s="1413"/>
      <c r="Q68" s="1413"/>
      <c r="R68" s="1413"/>
      <c r="S68" s="1413"/>
      <c r="T68" s="1413"/>
      <c r="U68" s="1413"/>
      <c r="V68" s="1413"/>
      <c r="W68" s="1413"/>
      <c r="X68" s="1413"/>
      <c r="Y68" s="1413"/>
      <c r="Z68" s="1413"/>
      <c r="AA68" s="1413"/>
      <c r="AB68" s="1413"/>
      <c r="AC68" s="1413"/>
      <c r="AD68" s="1504"/>
      <c r="AE68" s="1504"/>
      <c r="AF68" s="1504"/>
      <c r="AG68" s="1504"/>
      <c r="AH68" s="1504"/>
      <c r="AI68" s="1504"/>
      <c r="AJ68" s="1504"/>
      <c r="AK68" s="1504"/>
      <c r="AL68" s="1504"/>
      <c r="AM68" s="1504"/>
      <c r="AN68" s="1504"/>
      <c r="AO68" s="1504"/>
      <c r="AP68" s="1504"/>
      <c r="AQ68" s="1504"/>
      <c r="AR68" s="1504"/>
      <c r="AS68" s="1504"/>
      <c r="AT68" s="1504"/>
      <c r="AU68" s="1504"/>
      <c r="AV68" s="1504"/>
      <c r="AW68" s="1504"/>
      <c r="AX68" s="1504"/>
      <c r="AY68" s="1504"/>
      <c r="AZ68" s="1550"/>
    </row>
    <row r="69" spans="1:52" ht="13.5" customHeight="1">
      <c r="A69" s="1551"/>
      <c r="B69" s="1552"/>
      <c r="C69" s="1552"/>
      <c r="D69" s="1552"/>
      <c r="E69" s="1552"/>
      <c r="F69" s="1552"/>
      <c r="G69" s="1552"/>
      <c r="H69" s="1552"/>
      <c r="I69" s="1552"/>
      <c r="J69" s="1552"/>
      <c r="K69" s="1552"/>
      <c r="L69" s="1552"/>
      <c r="M69" s="1552"/>
      <c r="N69" s="1552"/>
      <c r="O69" s="1552"/>
      <c r="P69" s="1413"/>
      <c r="Q69" s="1413"/>
      <c r="R69" s="1413"/>
      <c r="S69" s="1413"/>
      <c r="T69" s="1413"/>
      <c r="U69" s="1413"/>
      <c r="V69" s="1413"/>
      <c r="W69" s="1413"/>
      <c r="X69" s="1413"/>
      <c r="Y69" s="1413"/>
      <c r="Z69" s="1413"/>
      <c r="AA69" s="1413"/>
      <c r="AB69" s="1413"/>
      <c r="AC69" s="1413"/>
      <c r="AD69" s="1504"/>
      <c r="AE69" s="1504"/>
      <c r="AF69" s="1504"/>
      <c r="AG69" s="1504"/>
      <c r="AH69" s="1504"/>
      <c r="AI69" s="1504"/>
      <c r="AJ69" s="1504"/>
      <c r="AK69" s="1504"/>
      <c r="AL69" s="1504"/>
      <c r="AM69" s="1504"/>
      <c r="AN69" s="1504"/>
      <c r="AO69" s="1504"/>
      <c r="AP69" s="1504"/>
      <c r="AQ69" s="1504"/>
      <c r="AR69" s="1504"/>
      <c r="AS69" s="1504"/>
      <c r="AT69" s="1504"/>
      <c r="AU69" s="1504"/>
      <c r="AV69" s="1504"/>
      <c r="AW69" s="1504"/>
      <c r="AX69" s="1504"/>
      <c r="AY69" s="1504"/>
      <c r="AZ69" s="1550"/>
    </row>
    <row r="70" spans="1:52" ht="12.75" customHeight="1">
      <c r="A70" s="1551" t="str">
        <f>VLOOKUP("Ergebnis",Translations!$A:$T,MATCH(Cover!DR19,Translations!A2:P2,0),0)</f>
        <v>Result</v>
      </c>
      <c r="B70" s="1552"/>
      <c r="C70" s="1552"/>
      <c r="D70" s="1552"/>
      <c r="E70" s="1552"/>
      <c r="F70" s="1552"/>
      <c r="G70" s="1552"/>
      <c r="H70" s="1552"/>
      <c r="I70" s="1552"/>
      <c r="J70" s="1552"/>
      <c r="K70" s="1552"/>
      <c r="L70" s="1552"/>
      <c r="M70" s="1552"/>
      <c r="N70" s="1552"/>
      <c r="O70" s="1552"/>
      <c r="P70" s="1413" t="str">
        <f>VLOOKUP("erfolgreich",Translations!$A:$T,MATCH(Cover!DR19,Translations!A2:P2,0),0)</f>
        <v>successful</v>
      </c>
      <c r="Q70" s="1413"/>
      <c r="R70" s="1413"/>
      <c r="S70" s="1413"/>
      <c r="T70" s="1413"/>
      <c r="U70" s="1413"/>
      <c r="V70" s="1413"/>
      <c r="W70" s="1413" t="str">
        <f>VLOOKUP("nicht erfolgreich",Translations!$A:$T,MATCH(Cover!DR19,Translations!A2:P2,0),0)</f>
        <v>not successful</v>
      </c>
      <c r="X70" s="1413"/>
      <c r="Y70" s="1413"/>
      <c r="Z70" s="1413"/>
      <c r="AA70" s="1413"/>
      <c r="AB70" s="1413"/>
      <c r="AC70" s="1413"/>
      <c r="AD70" s="1504"/>
      <c r="AE70" s="1504"/>
      <c r="AF70" s="1504"/>
      <c r="AG70" s="1504"/>
      <c r="AH70" s="1504"/>
      <c r="AI70" s="1504"/>
      <c r="AJ70" s="1504"/>
      <c r="AK70" s="1504"/>
      <c r="AL70" s="1504"/>
      <c r="AM70" s="1504"/>
      <c r="AN70" s="1504"/>
      <c r="AO70" s="1504"/>
      <c r="AP70" s="1504"/>
      <c r="AQ70" s="1504"/>
      <c r="AR70" s="1504"/>
      <c r="AS70" s="1504"/>
      <c r="AT70" s="1504"/>
      <c r="AU70" s="1504"/>
      <c r="AV70" s="1504"/>
      <c r="AW70" s="1504"/>
      <c r="AX70" s="1504"/>
      <c r="AY70" s="1504"/>
      <c r="AZ70" s="1550"/>
    </row>
    <row r="71" spans="1:52" ht="13.5" customHeight="1">
      <c r="A71" s="1551"/>
      <c r="B71" s="1552"/>
      <c r="C71" s="1552"/>
      <c r="D71" s="1552"/>
      <c r="E71" s="1552"/>
      <c r="F71" s="1552"/>
      <c r="G71" s="1552"/>
      <c r="H71" s="1552"/>
      <c r="I71" s="1552"/>
      <c r="J71" s="1552"/>
      <c r="K71" s="1552"/>
      <c r="L71" s="1552"/>
      <c r="M71" s="1552"/>
      <c r="N71" s="1552"/>
      <c r="O71" s="1552"/>
      <c r="P71" s="1413"/>
      <c r="Q71" s="1413"/>
      <c r="R71" s="1413"/>
      <c r="S71" s="1413"/>
      <c r="T71" s="1413"/>
      <c r="U71" s="1413"/>
      <c r="V71" s="1413"/>
      <c r="W71" s="1413"/>
      <c r="X71" s="1413"/>
      <c r="Y71" s="1413"/>
      <c r="Z71" s="1413"/>
      <c r="AA71" s="1413"/>
      <c r="AB71" s="1413"/>
      <c r="AC71" s="1413"/>
      <c r="AD71" s="1504"/>
      <c r="AE71" s="1504"/>
      <c r="AF71" s="1504"/>
      <c r="AG71" s="1504"/>
      <c r="AH71" s="1504"/>
      <c r="AI71" s="1504"/>
      <c r="AJ71" s="1504"/>
      <c r="AK71" s="1504"/>
      <c r="AL71" s="1504"/>
      <c r="AM71" s="1504"/>
      <c r="AN71" s="1504"/>
      <c r="AO71" s="1504"/>
      <c r="AP71" s="1504"/>
      <c r="AQ71" s="1504"/>
      <c r="AR71" s="1504"/>
      <c r="AS71" s="1504"/>
      <c r="AT71" s="1504"/>
      <c r="AU71" s="1504"/>
      <c r="AV71" s="1504"/>
      <c r="AW71" s="1504"/>
      <c r="AX71" s="1504"/>
      <c r="AY71" s="1504"/>
      <c r="AZ71" s="1550"/>
    </row>
    <row r="72" spans="1:52" ht="12.75" customHeight="1">
      <c r="A72" s="1551" t="str">
        <f>VLOOKUP("Anzahl offener Punkte",Translations!$A:$T,MATCH(Cover!DR19,Translations!A2:P2,0),0)</f>
        <v>Number of points outstanding</v>
      </c>
      <c r="B72" s="1552"/>
      <c r="C72" s="1552"/>
      <c r="D72" s="1552"/>
      <c r="E72" s="1552"/>
      <c r="F72" s="1552"/>
      <c r="G72" s="1552"/>
      <c r="H72" s="1552"/>
      <c r="I72" s="1552"/>
      <c r="J72" s="1552"/>
      <c r="K72" s="1552"/>
      <c r="L72" s="1552"/>
      <c r="M72" s="1552"/>
      <c r="N72" s="1552"/>
      <c r="O72" s="1552"/>
      <c r="P72" s="1413"/>
      <c r="Q72" s="1413"/>
      <c r="R72" s="1413"/>
      <c r="S72" s="1413"/>
      <c r="T72" s="1413"/>
      <c r="U72" s="1413"/>
      <c r="V72" s="1413"/>
      <c r="W72" s="1413"/>
      <c r="X72" s="1413"/>
      <c r="Y72" s="1413"/>
      <c r="Z72" s="1413"/>
      <c r="AA72" s="1413"/>
      <c r="AB72" s="1413"/>
      <c r="AC72" s="1413"/>
      <c r="AD72" s="1504"/>
      <c r="AE72" s="1504"/>
      <c r="AF72" s="1504"/>
      <c r="AG72" s="1504"/>
      <c r="AH72" s="1504"/>
      <c r="AI72" s="1504"/>
      <c r="AJ72" s="1504"/>
      <c r="AK72" s="1504"/>
      <c r="AL72" s="1504"/>
      <c r="AM72" s="1504"/>
      <c r="AN72" s="1504"/>
      <c r="AO72" s="1504"/>
      <c r="AP72" s="1504"/>
      <c r="AQ72" s="1504"/>
      <c r="AR72" s="1504"/>
      <c r="AS72" s="1504"/>
      <c r="AT72" s="1504"/>
      <c r="AU72" s="1504"/>
      <c r="AV72" s="1504"/>
      <c r="AW72" s="1504"/>
      <c r="AX72" s="1504"/>
      <c r="AY72" s="1504"/>
      <c r="AZ72" s="1550"/>
    </row>
    <row r="73" spans="1:52" ht="13.5" customHeight="1">
      <c r="A73" s="1551"/>
      <c r="B73" s="1552"/>
      <c r="C73" s="1552"/>
      <c r="D73" s="1552"/>
      <c r="E73" s="1552"/>
      <c r="F73" s="1552"/>
      <c r="G73" s="1552"/>
      <c r="H73" s="1552"/>
      <c r="I73" s="1552"/>
      <c r="J73" s="1552"/>
      <c r="K73" s="1552"/>
      <c r="L73" s="1552"/>
      <c r="M73" s="1552"/>
      <c r="N73" s="1552"/>
      <c r="O73" s="1552"/>
      <c r="P73" s="1413"/>
      <c r="Q73" s="1413"/>
      <c r="R73" s="1413"/>
      <c r="S73" s="1413"/>
      <c r="T73" s="1413"/>
      <c r="U73" s="1413"/>
      <c r="V73" s="1413"/>
      <c r="W73" s="1413"/>
      <c r="X73" s="1413"/>
      <c r="Y73" s="1413"/>
      <c r="Z73" s="1413"/>
      <c r="AA73" s="1413"/>
      <c r="AB73" s="1413"/>
      <c r="AC73" s="1413"/>
      <c r="AD73" s="1504"/>
      <c r="AE73" s="1504"/>
      <c r="AF73" s="1504"/>
      <c r="AG73" s="1504"/>
      <c r="AH73" s="1504"/>
      <c r="AI73" s="1504"/>
      <c r="AJ73" s="1504"/>
      <c r="AK73" s="1504"/>
      <c r="AL73" s="1504"/>
      <c r="AM73" s="1504"/>
      <c r="AN73" s="1504"/>
      <c r="AO73" s="1504"/>
      <c r="AP73" s="1504"/>
      <c r="AQ73" s="1504"/>
      <c r="AR73" s="1504"/>
      <c r="AS73" s="1504"/>
      <c r="AT73" s="1504"/>
      <c r="AU73" s="1504"/>
      <c r="AV73" s="1504"/>
      <c r="AW73" s="1504"/>
      <c r="AX73" s="1504"/>
      <c r="AY73" s="1504"/>
      <c r="AZ73" s="1550"/>
    </row>
    <row r="74" spans="1:52" ht="12.75" customHeight="1">
      <c r="A74" s="1548"/>
      <c r="B74" s="1549"/>
      <c r="C74" s="1549"/>
      <c r="D74" s="1549"/>
      <c r="E74" s="1549"/>
      <c r="F74" s="1549"/>
      <c r="G74" s="1549"/>
      <c r="H74" s="1549"/>
      <c r="I74" s="1549"/>
      <c r="J74" s="1549"/>
      <c r="K74" s="1549"/>
      <c r="L74" s="1549"/>
      <c r="M74" s="1549"/>
      <c r="N74" s="1549"/>
      <c r="O74" s="1549"/>
      <c r="P74" s="1413"/>
      <c r="Q74" s="1413"/>
      <c r="R74" s="1413"/>
      <c r="S74" s="1413"/>
      <c r="T74" s="1413"/>
      <c r="U74" s="1413"/>
      <c r="V74" s="1413"/>
      <c r="W74" s="1413"/>
      <c r="X74" s="1413"/>
      <c r="Y74" s="1413"/>
      <c r="Z74" s="1413"/>
      <c r="AA74" s="1413"/>
      <c r="AB74" s="1413"/>
      <c r="AC74" s="1413"/>
      <c r="AD74" s="1504"/>
      <c r="AE74" s="1504"/>
      <c r="AF74" s="1504"/>
      <c r="AG74" s="1504"/>
      <c r="AH74" s="1504"/>
      <c r="AI74" s="1504"/>
      <c r="AJ74" s="1504"/>
      <c r="AK74" s="1504"/>
      <c r="AL74" s="1504"/>
      <c r="AM74" s="1504"/>
      <c r="AN74" s="1504"/>
      <c r="AO74" s="1504"/>
      <c r="AP74" s="1504"/>
      <c r="AQ74" s="1504"/>
      <c r="AR74" s="1504"/>
      <c r="AS74" s="1504"/>
      <c r="AT74" s="1504"/>
      <c r="AU74" s="1504"/>
      <c r="AV74" s="1504"/>
      <c r="AW74" s="1504"/>
      <c r="AX74" s="1504"/>
      <c r="AY74" s="1504"/>
      <c r="AZ74" s="1550"/>
    </row>
    <row r="75" spans="1:52" ht="13.5" customHeight="1">
      <c r="A75" s="1548"/>
      <c r="B75" s="1549"/>
      <c r="C75" s="1549"/>
      <c r="D75" s="1549"/>
      <c r="E75" s="1549"/>
      <c r="F75" s="1549"/>
      <c r="G75" s="1549"/>
      <c r="H75" s="1549"/>
      <c r="I75" s="1549"/>
      <c r="J75" s="1549"/>
      <c r="K75" s="1549"/>
      <c r="L75" s="1549"/>
      <c r="M75" s="1549"/>
      <c r="N75" s="1549"/>
      <c r="O75" s="1549"/>
      <c r="P75" s="1413"/>
      <c r="Q75" s="1413"/>
      <c r="R75" s="1413"/>
      <c r="S75" s="1413"/>
      <c r="T75" s="1413"/>
      <c r="U75" s="1413"/>
      <c r="V75" s="1413"/>
      <c r="W75" s="1413"/>
      <c r="X75" s="1413"/>
      <c r="Y75" s="1413"/>
      <c r="Z75" s="1413"/>
      <c r="AA75" s="1413"/>
      <c r="AB75" s="1413"/>
      <c r="AC75" s="1413"/>
      <c r="AD75" s="1504"/>
      <c r="AE75" s="1504"/>
      <c r="AF75" s="1504"/>
      <c r="AG75" s="1504"/>
      <c r="AH75" s="1504"/>
      <c r="AI75" s="1504"/>
      <c r="AJ75" s="1504"/>
      <c r="AK75" s="1504"/>
      <c r="AL75" s="1504"/>
      <c r="AM75" s="1504"/>
      <c r="AN75" s="1504"/>
      <c r="AO75" s="1504"/>
      <c r="AP75" s="1504"/>
      <c r="AQ75" s="1504"/>
      <c r="AR75" s="1504"/>
      <c r="AS75" s="1504"/>
      <c r="AT75" s="1504"/>
      <c r="AU75" s="1504"/>
      <c r="AV75" s="1504"/>
      <c r="AW75" s="1504"/>
      <c r="AX75" s="1504"/>
      <c r="AY75" s="1504"/>
      <c r="AZ75" s="1550"/>
    </row>
    <row r="76" spans="1:52" ht="12.75" customHeight="1">
      <c r="A76" s="1548"/>
      <c r="B76" s="1549"/>
      <c r="C76" s="1549"/>
      <c r="D76" s="1549"/>
      <c r="E76" s="1549"/>
      <c r="F76" s="1549"/>
      <c r="G76" s="1549"/>
      <c r="H76" s="1549"/>
      <c r="I76" s="1549"/>
      <c r="J76" s="1549"/>
      <c r="K76" s="1549"/>
      <c r="L76" s="1549"/>
      <c r="M76" s="1549"/>
      <c r="N76" s="1549"/>
      <c r="O76" s="1549"/>
      <c r="P76" s="1413"/>
      <c r="Q76" s="1413"/>
      <c r="R76" s="1413"/>
      <c r="S76" s="1413"/>
      <c r="T76" s="1413"/>
      <c r="U76" s="1413"/>
      <c r="V76" s="1413"/>
      <c r="W76" s="1413"/>
      <c r="X76" s="1413"/>
      <c r="Y76" s="1413"/>
      <c r="Z76" s="1413"/>
      <c r="AA76" s="1413"/>
      <c r="AB76" s="1413"/>
      <c r="AC76" s="1413"/>
      <c r="AD76" s="1504"/>
      <c r="AE76" s="1504"/>
      <c r="AF76" s="1504"/>
      <c r="AG76" s="1504"/>
      <c r="AH76" s="1504"/>
      <c r="AI76" s="1504"/>
      <c r="AJ76" s="1504"/>
      <c r="AK76" s="1504"/>
      <c r="AL76" s="1504"/>
      <c r="AM76" s="1504"/>
      <c r="AN76" s="1504"/>
      <c r="AO76" s="1504"/>
      <c r="AP76" s="1504"/>
      <c r="AQ76" s="1504"/>
      <c r="AR76" s="1504"/>
      <c r="AS76" s="1504"/>
      <c r="AT76" s="1504"/>
      <c r="AU76" s="1504"/>
      <c r="AV76" s="1504"/>
      <c r="AW76" s="1504"/>
      <c r="AX76" s="1504"/>
      <c r="AY76" s="1504"/>
      <c r="AZ76" s="1550"/>
    </row>
    <row r="77" spans="1:52" ht="13.5" customHeight="1" thickBot="1">
      <c r="A77" s="1553"/>
      <c r="B77" s="1554"/>
      <c r="C77" s="1554"/>
      <c r="D77" s="1554"/>
      <c r="E77" s="1554"/>
      <c r="F77" s="1554"/>
      <c r="G77" s="1554"/>
      <c r="H77" s="1554"/>
      <c r="I77" s="1554"/>
      <c r="J77" s="1554"/>
      <c r="K77" s="1554"/>
      <c r="L77" s="1554"/>
      <c r="M77" s="1554"/>
      <c r="N77" s="1554"/>
      <c r="O77" s="1554"/>
      <c r="P77" s="1453"/>
      <c r="Q77" s="1453"/>
      <c r="R77" s="1453"/>
      <c r="S77" s="1453"/>
      <c r="T77" s="1453"/>
      <c r="U77" s="1453"/>
      <c r="V77" s="1453"/>
      <c r="W77" s="1453"/>
      <c r="X77" s="1453"/>
      <c r="Y77" s="1453"/>
      <c r="Z77" s="1453"/>
      <c r="AA77" s="1453"/>
      <c r="AB77" s="1453"/>
      <c r="AC77" s="1453"/>
      <c r="AD77" s="1506"/>
      <c r="AE77" s="1506"/>
      <c r="AF77" s="1506"/>
      <c r="AG77" s="1506"/>
      <c r="AH77" s="1506"/>
      <c r="AI77" s="1506"/>
      <c r="AJ77" s="1506"/>
      <c r="AK77" s="1506"/>
      <c r="AL77" s="1506"/>
      <c r="AM77" s="1506"/>
      <c r="AN77" s="1506"/>
      <c r="AO77" s="1506"/>
      <c r="AP77" s="1506"/>
      <c r="AQ77" s="1506"/>
      <c r="AR77" s="1506"/>
      <c r="AS77" s="1506"/>
      <c r="AT77" s="1506"/>
      <c r="AU77" s="1506"/>
      <c r="AV77" s="1506"/>
      <c r="AW77" s="1506"/>
      <c r="AX77" s="1506"/>
      <c r="AY77" s="1506"/>
      <c r="AZ77" s="1555"/>
    </row>
    <row r="78" spans="1:52" ht="13.5" thickBot="1">
      <c r="A78" s="1578"/>
      <c r="B78" s="1578"/>
      <c r="C78" s="1578"/>
      <c r="D78" s="1578"/>
      <c r="E78" s="1578"/>
      <c r="F78" s="1578"/>
      <c r="G78" s="1578"/>
      <c r="H78" s="1578"/>
      <c r="I78" s="1578"/>
      <c r="J78" s="1578"/>
      <c r="K78" s="1578"/>
      <c r="L78" s="1578"/>
      <c r="M78" s="1578"/>
      <c r="N78" s="1578"/>
      <c r="O78" s="1578"/>
      <c r="P78" s="1578"/>
      <c r="Q78" s="1578"/>
      <c r="R78" s="1578"/>
      <c r="S78" s="1578"/>
      <c r="T78" s="1578"/>
      <c r="U78" s="1578"/>
      <c r="V78" s="1578"/>
      <c r="W78" s="1578"/>
      <c r="X78" s="1578"/>
      <c r="Y78" s="1578"/>
      <c r="Z78" s="1578"/>
      <c r="AA78" s="1578"/>
      <c r="AB78" s="1578"/>
      <c r="AC78" s="1578"/>
      <c r="AD78" s="1578"/>
      <c r="AE78" s="1578"/>
      <c r="AF78" s="1578"/>
      <c r="AG78" s="1578"/>
      <c r="AH78" s="1578"/>
      <c r="AI78" s="1578"/>
      <c r="AJ78" s="1578"/>
      <c r="AK78" s="1578"/>
      <c r="AL78" s="1578"/>
      <c r="AM78" s="1578"/>
      <c r="AN78" s="1578"/>
      <c r="AO78" s="1578"/>
      <c r="AP78" s="1578"/>
      <c r="AQ78" s="1578"/>
      <c r="AR78" s="1578"/>
      <c r="AS78" s="1578"/>
      <c r="AT78" s="1578"/>
      <c r="AU78" s="1578"/>
      <c r="AV78" s="1578"/>
      <c r="AW78" s="1578"/>
      <c r="AX78" s="1578"/>
      <c r="AY78" s="1578"/>
      <c r="AZ78" s="1578"/>
    </row>
    <row r="79" spans="1:52">
      <c r="A79" s="1493" t="s">
        <v>121</v>
      </c>
      <c r="B79" s="1494"/>
      <c r="C79" s="1494"/>
      <c r="D79" s="1494"/>
      <c r="E79" s="1494"/>
      <c r="F79" s="1494"/>
      <c r="G79" s="1494"/>
      <c r="H79" s="1494"/>
      <c r="I79" s="1494"/>
      <c r="J79" s="1494"/>
      <c r="K79" s="1494"/>
      <c r="L79" s="1494"/>
      <c r="M79" s="1494"/>
      <c r="N79" s="1494"/>
      <c r="O79" s="1494"/>
      <c r="P79" s="1494"/>
      <c r="Q79" s="1494"/>
      <c r="R79" s="1494"/>
      <c r="S79" s="1494"/>
      <c r="T79" s="1494"/>
      <c r="U79" s="1494"/>
      <c r="V79" s="1494"/>
      <c r="W79" s="1494"/>
      <c r="X79" s="1494"/>
      <c r="Y79" s="1494"/>
      <c r="Z79" s="1494"/>
      <c r="AA79" s="1494"/>
      <c r="AB79" s="1494"/>
      <c r="AC79" s="1494"/>
      <c r="AD79" s="1494"/>
      <c r="AE79" s="1494"/>
      <c r="AF79" s="1494"/>
      <c r="AG79" s="1494"/>
      <c r="AH79" s="1494"/>
      <c r="AI79" s="1494"/>
      <c r="AJ79" s="1494"/>
      <c r="AK79" s="1494"/>
      <c r="AL79" s="1494"/>
      <c r="AM79" s="1494"/>
      <c r="AN79" s="1494"/>
      <c r="AO79" s="1494"/>
      <c r="AP79" s="1494"/>
      <c r="AQ79" s="1494"/>
      <c r="AR79" s="1494"/>
      <c r="AS79" s="1494"/>
      <c r="AT79" s="1494"/>
      <c r="AU79" s="1494"/>
      <c r="AV79" s="1494"/>
      <c r="AW79" s="1494"/>
      <c r="AX79" s="1494"/>
      <c r="AY79" s="1494"/>
      <c r="AZ79" s="1495"/>
    </row>
    <row r="80" spans="1:52">
      <c r="A80" s="1496"/>
      <c r="B80" s="1497"/>
      <c r="C80" s="1497"/>
      <c r="D80" s="1497"/>
      <c r="E80" s="1497"/>
      <c r="F80" s="1497"/>
      <c r="G80" s="1497"/>
      <c r="H80" s="1497"/>
      <c r="I80" s="1497"/>
      <c r="J80" s="1497"/>
      <c r="K80" s="1497"/>
      <c r="L80" s="1497"/>
      <c r="M80" s="1497"/>
      <c r="N80" s="1497"/>
      <c r="O80" s="1497"/>
      <c r="P80" s="1497"/>
      <c r="Q80" s="1497"/>
      <c r="R80" s="1497"/>
      <c r="S80" s="1497"/>
      <c r="T80" s="1497"/>
      <c r="U80" s="1497"/>
      <c r="V80" s="1497"/>
      <c r="W80" s="1497"/>
      <c r="X80" s="1497"/>
      <c r="Y80" s="1497"/>
      <c r="Z80" s="1497"/>
      <c r="AA80" s="1497"/>
      <c r="AB80" s="1497"/>
      <c r="AC80" s="1497"/>
      <c r="AD80" s="1497"/>
      <c r="AE80" s="1497"/>
      <c r="AF80" s="1497"/>
      <c r="AG80" s="1497"/>
      <c r="AH80" s="1497"/>
      <c r="AI80" s="1497"/>
      <c r="AJ80" s="1497"/>
      <c r="AK80" s="1497"/>
      <c r="AL80" s="1497"/>
      <c r="AM80" s="1497"/>
      <c r="AN80" s="1497"/>
      <c r="AO80" s="1497"/>
      <c r="AP80" s="1497"/>
      <c r="AQ80" s="1497"/>
      <c r="AR80" s="1497"/>
      <c r="AS80" s="1497"/>
      <c r="AT80" s="1497"/>
      <c r="AU80" s="1497"/>
      <c r="AV80" s="1497"/>
      <c r="AW80" s="1497"/>
      <c r="AX80" s="1497"/>
      <c r="AY80" s="1497"/>
      <c r="AZ80" s="1498"/>
    </row>
    <row r="81" spans="1:52" ht="12.75" customHeight="1">
      <c r="A81" s="1551" t="s">
        <v>112</v>
      </c>
      <c r="B81" s="1552"/>
      <c r="C81" s="1552"/>
      <c r="D81" s="1552"/>
      <c r="E81" s="1552"/>
      <c r="F81" s="1552"/>
      <c r="G81" s="1552"/>
      <c r="H81" s="1552"/>
      <c r="I81" s="1552"/>
      <c r="J81" s="1552"/>
      <c r="K81" s="1552"/>
      <c r="L81" s="1552"/>
      <c r="M81" s="1552"/>
      <c r="N81" s="1552"/>
      <c r="O81" s="1552"/>
      <c r="P81" s="1413" t="str">
        <f>VLOOKUP("Ja",Translations!$A:$T,MATCH(Cover!DR19,Translations!A2:P2,0),0)</f>
        <v>Yes</v>
      </c>
      <c r="Q81" s="1413"/>
      <c r="R81" s="1413"/>
      <c r="S81" s="1413"/>
      <c r="T81" s="1413"/>
      <c r="U81" s="1413"/>
      <c r="V81" s="1413"/>
      <c r="W81" s="1413" t="str">
        <f>VLOOKUP("Nein",Translations!$A:$T,MATCH(Cover!DR19,Translations!A2:P2,0),0)</f>
        <v>No</v>
      </c>
      <c r="X81" s="1413"/>
      <c r="Y81" s="1413"/>
      <c r="Z81" s="1413"/>
      <c r="AA81" s="1413"/>
      <c r="AB81" s="1413"/>
      <c r="AC81" s="1413"/>
      <c r="AD81" s="1504"/>
      <c r="AE81" s="1504"/>
      <c r="AF81" s="1504"/>
      <c r="AG81" s="1504"/>
      <c r="AH81" s="1504"/>
      <c r="AI81" s="1504"/>
      <c r="AJ81" s="1504"/>
      <c r="AK81" s="1504"/>
      <c r="AL81" s="1504"/>
      <c r="AM81" s="1504"/>
      <c r="AN81" s="1504"/>
      <c r="AO81" s="1504"/>
      <c r="AP81" s="1504"/>
      <c r="AQ81" s="1504"/>
      <c r="AR81" s="1504"/>
      <c r="AS81" s="1504"/>
      <c r="AT81" s="1504"/>
      <c r="AU81" s="1504"/>
      <c r="AV81" s="1504"/>
      <c r="AW81" s="1504"/>
      <c r="AX81" s="1504"/>
      <c r="AY81" s="1504"/>
      <c r="AZ81" s="1550"/>
    </row>
    <row r="82" spans="1:52" ht="13.5" customHeight="1">
      <c r="A82" s="1551"/>
      <c r="B82" s="1552"/>
      <c r="C82" s="1552"/>
      <c r="D82" s="1552"/>
      <c r="E82" s="1552"/>
      <c r="F82" s="1552"/>
      <c r="G82" s="1552"/>
      <c r="H82" s="1552"/>
      <c r="I82" s="1552"/>
      <c r="J82" s="1552"/>
      <c r="K82" s="1552"/>
      <c r="L82" s="1552"/>
      <c r="M82" s="1552"/>
      <c r="N82" s="1552"/>
      <c r="O82" s="1552"/>
      <c r="P82" s="1413"/>
      <c r="Q82" s="1413"/>
      <c r="R82" s="1413"/>
      <c r="S82" s="1413"/>
      <c r="T82" s="1413"/>
      <c r="U82" s="1413"/>
      <c r="V82" s="1413"/>
      <c r="W82" s="1413"/>
      <c r="X82" s="1413"/>
      <c r="Y82" s="1413"/>
      <c r="Z82" s="1413"/>
      <c r="AA82" s="1413"/>
      <c r="AB82" s="1413"/>
      <c r="AC82" s="1413"/>
      <c r="AD82" s="1504"/>
      <c r="AE82" s="1504"/>
      <c r="AF82" s="1504"/>
      <c r="AG82" s="1504"/>
      <c r="AH82" s="1504"/>
      <c r="AI82" s="1504"/>
      <c r="AJ82" s="1504"/>
      <c r="AK82" s="1504"/>
      <c r="AL82" s="1504"/>
      <c r="AM82" s="1504"/>
      <c r="AN82" s="1504"/>
      <c r="AO82" s="1504"/>
      <c r="AP82" s="1504"/>
      <c r="AQ82" s="1504"/>
      <c r="AR82" s="1504"/>
      <c r="AS82" s="1504"/>
      <c r="AT82" s="1504"/>
      <c r="AU82" s="1504"/>
      <c r="AV82" s="1504"/>
      <c r="AW82" s="1504"/>
      <c r="AX82" s="1504"/>
      <c r="AY82" s="1504"/>
      <c r="AZ82" s="1550"/>
    </row>
    <row r="83" spans="1:52" ht="12.75" customHeight="1">
      <c r="A83" s="1551" t="str">
        <f>VLOOKUP("Version",Translations!$A:$T,MATCH(Cover!DR19,Translations!A2:P2,0),0)</f>
        <v>Version</v>
      </c>
      <c r="B83" s="1552"/>
      <c r="C83" s="1552"/>
      <c r="D83" s="1552"/>
      <c r="E83" s="1552"/>
      <c r="F83" s="1552"/>
      <c r="G83" s="1552"/>
      <c r="H83" s="1552"/>
      <c r="I83" s="1552"/>
      <c r="J83" s="1552"/>
      <c r="K83" s="1552"/>
      <c r="L83" s="1552"/>
      <c r="M83" s="1552"/>
      <c r="N83" s="1552"/>
      <c r="O83" s="1552"/>
      <c r="P83" s="1413"/>
      <c r="Q83" s="1413"/>
      <c r="R83" s="1413"/>
      <c r="S83" s="1413"/>
      <c r="T83" s="1413"/>
      <c r="U83" s="1413"/>
      <c r="V83" s="1413"/>
      <c r="W83" s="1413"/>
      <c r="X83" s="1413"/>
      <c r="Y83" s="1413"/>
      <c r="Z83" s="1413"/>
      <c r="AA83" s="1413"/>
      <c r="AB83" s="1413"/>
      <c r="AC83" s="1413"/>
      <c r="AD83" s="1504"/>
      <c r="AE83" s="1504"/>
      <c r="AF83" s="1504"/>
      <c r="AG83" s="1504"/>
      <c r="AH83" s="1504"/>
      <c r="AI83" s="1504"/>
      <c r="AJ83" s="1504"/>
      <c r="AK83" s="1504"/>
      <c r="AL83" s="1504"/>
      <c r="AM83" s="1504"/>
      <c r="AN83" s="1504"/>
      <c r="AO83" s="1504"/>
      <c r="AP83" s="1504"/>
      <c r="AQ83" s="1504"/>
      <c r="AR83" s="1504"/>
      <c r="AS83" s="1504"/>
      <c r="AT83" s="1504"/>
      <c r="AU83" s="1504"/>
      <c r="AV83" s="1504"/>
      <c r="AW83" s="1504"/>
      <c r="AX83" s="1504"/>
      <c r="AY83" s="1504"/>
      <c r="AZ83" s="1550"/>
    </row>
    <row r="84" spans="1:52" ht="13.5" customHeight="1">
      <c r="A84" s="1551"/>
      <c r="B84" s="1552"/>
      <c r="C84" s="1552"/>
      <c r="D84" s="1552"/>
      <c r="E84" s="1552"/>
      <c r="F84" s="1552"/>
      <c r="G84" s="1552"/>
      <c r="H84" s="1552"/>
      <c r="I84" s="1552"/>
      <c r="J84" s="1552"/>
      <c r="K84" s="1552"/>
      <c r="L84" s="1552"/>
      <c r="M84" s="1552"/>
      <c r="N84" s="1552"/>
      <c r="O84" s="1552"/>
      <c r="P84" s="1413"/>
      <c r="Q84" s="1413"/>
      <c r="R84" s="1413"/>
      <c r="S84" s="1413"/>
      <c r="T84" s="1413"/>
      <c r="U84" s="1413"/>
      <c r="V84" s="1413"/>
      <c r="W84" s="1413"/>
      <c r="X84" s="1413"/>
      <c r="Y84" s="1413"/>
      <c r="Z84" s="1413"/>
      <c r="AA84" s="1413"/>
      <c r="AB84" s="1413"/>
      <c r="AC84" s="1413"/>
      <c r="AD84" s="1504"/>
      <c r="AE84" s="1504"/>
      <c r="AF84" s="1504"/>
      <c r="AG84" s="1504"/>
      <c r="AH84" s="1504"/>
      <c r="AI84" s="1504"/>
      <c r="AJ84" s="1504"/>
      <c r="AK84" s="1504"/>
      <c r="AL84" s="1504"/>
      <c r="AM84" s="1504"/>
      <c r="AN84" s="1504"/>
      <c r="AO84" s="1504"/>
      <c r="AP84" s="1504"/>
      <c r="AQ84" s="1504"/>
      <c r="AR84" s="1504"/>
      <c r="AS84" s="1504"/>
      <c r="AT84" s="1504"/>
      <c r="AU84" s="1504"/>
      <c r="AV84" s="1504"/>
      <c r="AW84" s="1504"/>
      <c r="AX84" s="1504"/>
      <c r="AY84" s="1504"/>
      <c r="AZ84" s="1550"/>
    </row>
    <row r="85" spans="1:52" ht="12.75" customHeight="1">
      <c r="A85" s="1551" t="str">
        <f>VLOOKUP("Ergebnis",Translations!$A:$T,MATCH(Cover!DR19,Translations!A2:P2,0),0)</f>
        <v>Result</v>
      </c>
      <c r="B85" s="1552"/>
      <c r="C85" s="1552"/>
      <c r="D85" s="1552"/>
      <c r="E85" s="1552"/>
      <c r="F85" s="1552"/>
      <c r="G85" s="1552"/>
      <c r="H85" s="1552"/>
      <c r="I85" s="1552"/>
      <c r="J85" s="1552"/>
      <c r="K85" s="1552"/>
      <c r="L85" s="1552"/>
      <c r="M85" s="1552"/>
      <c r="N85" s="1552"/>
      <c r="O85" s="1552"/>
      <c r="P85" s="1413" t="str">
        <f>VLOOKUP("erfolgreich",Translations!$A:$T,MATCH(Cover!DR19,Translations!A2:P2,0),0)</f>
        <v>successful</v>
      </c>
      <c r="Q85" s="1413"/>
      <c r="R85" s="1413"/>
      <c r="S85" s="1413"/>
      <c r="T85" s="1413"/>
      <c r="U85" s="1413"/>
      <c r="V85" s="1413"/>
      <c r="W85" s="1413" t="str">
        <f>VLOOKUP("nicht erfolgreich",Translations!$A:$T,MATCH(Cover!DR19,Translations!A2:P2,0),0)</f>
        <v>not successful</v>
      </c>
      <c r="X85" s="1413"/>
      <c r="Y85" s="1413"/>
      <c r="Z85" s="1413"/>
      <c r="AA85" s="1413"/>
      <c r="AB85" s="1413"/>
      <c r="AC85" s="1413"/>
      <c r="AD85" s="1504"/>
      <c r="AE85" s="1504"/>
      <c r="AF85" s="1504"/>
      <c r="AG85" s="1504"/>
      <c r="AH85" s="1504"/>
      <c r="AI85" s="1504"/>
      <c r="AJ85" s="1504"/>
      <c r="AK85" s="1504"/>
      <c r="AL85" s="1504"/>
      <c r="AM85" s="1504"/>
      <c r="AN85" s="1504"/>
      <c r="AO85" s="1504"/>
      <c r="AP85" s="1504"/>
      <c r="AQ85" s="1504"/>
      <c r="AR85" s="1504"/>
      <c r="AS85" s="1504"/>
      <c r="AT85" s="1504"/>
      <c r="AU85" s="1504"/>
      <c r="AV85" s="1504"/>
      <c r="AW85" s="1504"/>
      <c r="AX85" s="1504"/>
      <c r="AY85" s="1504"/>
      <c r="AZ85" s="1550"/>
    </row>
    <row r="86" spans="1:52" ht="13.5" customHeight="1">
      <c r="A86" s="1551"/>
      <c r="B86" s="1552"/>
      <c r="C86" s="1552"/>
      <c r="D86" s="1552"/>
      <c r="E86" s="1552"/>
      <c r="F86" s="1552"/>
      <c r="G86" s="1552"/>
      <c r="H86" s="1552"/>
      <c r="I86" s="1552"/>
      <c r="J86" s="1552"/>
      <c r="K86" s="1552"/>
      <c r="L86" s="1552"/>
      <c r="M86" s="1552"/>
      <c r="N86" s="1552"/>
      <c r="O86" s="1552"/>
      <c r="P86" s="1413"/>
      <c r="Q86" s="1413"/>
      <c r="R86" s="1413"/>
      <c r="S86" s="1413"/>
      <c r="T86" s="1413"/>
      <c r="U86" s="1413"/>
      <c r="V86" s="1413"/>
      <c r="W86" s="1413"/>
      <c r="X86" s="1413"/>
      <c r="Y86" s="1413"/>
      <c r="Z86" s="1413"/>
      <c r="AA86" s="1413"/>
      <c r="AB86" s="1413"/>
      <c r="AC86" s="1413"/>
      <c r="AD86" s="1504"/>
      <c r="AE86" s="1504"/>
      <c r="AF86" s="1504"/>
      <c r="AG86" s="1504"/>
      <c r="AH86" s="1504"/>
      <c r="AI86" s="1504"/>
      <c r="AJ86" s="1504"/>
      <c r="AK86" s="1504"/>
      <c r="AL86" s="1504"/>
      <c r="AM86" s="1504"/>
      <c r="AN86" s="1504"/>
      <c r="AO86" s="1504"/>
      <c r="AP86" s="1504"/>
      <c r="AQ86" s="1504"/>
      <c r="AR86" s="1504"/>
      <c r="AS86" s="1504"/>
      <c r="AT86" s="1504"/>
      <c r="AU86" s="1504"/>
      <c r="AV86" s="1504"/>
      <c r="AW86" s="1504"/>
      <c r="AX86" s="1504"/>
      <c r="AY86" s="1504"/>
      <c r="AZ86" s="1550"/>
    </row>
    <row r="87" spans="1:52" ht="12.75" customHeight="1">
      <c r="A87" s="1551" t="str">
        <f>VLOOKUP("Anzahl offener Punkte",Translations!$A:$T,MATCH(Cover!DR19,Translations!A2:P2,0),0)</f>
        <v>Number of points outstanding</v>
      </c>
      <c r="B87" s="1552"/>
      <c r="C87" s="1552"/>
      <c r="D87" s="1552"/>
      <c r="E87" s="1552"/>
      <c r="F87" s="1552"/>
      <c r="G87" s="1552"/>
      <c r="H87" s="1552"/>
      <c r="I87" s="1552"/>
      <c r="J87" s="1552"/>
      <c r="K87" s="1552"/>
      <c r="L87" s="1552"/>
      <c r="M87" s="1552"/>
      <c r="N87" s="1552"/>
      <c r="O87" s="1552"/>
      <c r="P87" s="1413"/>
      <c r="Q87" s="1413"/>
      <c r="R87" s="1413"/>
      <c r="S87" s="1413"/>
      <c r="T87" s="1413"/>
      <c r="U87" s="1413"/>
      <c r="V87" s="1413"/>
      <c r="W87" s="1413"/>
      <c r="X87" s="1413"/>
      <c r="Y87" s="1413"/>
      <c r="Z87" s="1413"/>
      <c r="AA87" s="1413"/>
      <c r="AB87" s="1413"/>
      <c r="AC87" s="1413"/>
      <c r="AD87" s="1504"/>
      <c r="AE87" s="1504"/>
      <c r="AF87" s="1504"/>
      <c r="AG87" s="1504"/>
      <c r="AH87" s="1504"/>
      <c r="AI87" s="1504"/>
      <c r="AJ87" s="1504"/>
      <c r="AK87" s="1504"/>
      <c r="AL87" s="1504"/>
      <c r="AM87" s="1504"/>
      <c r="AN87" s="1504"/>
      <c r="AO87" s="1504"/>
      <c r="AP87" s="1504"/>
      <c r="AQ87" s="1504"/>
      <c r="AR87" s="1504"/>
      <c r="AS87" s="1504"/>
      <c r="AT87" s="1504"/>
      <c r="AU87" s="1504"/>
      <c r="AV87" s="1504"/>
      <c r="AW87" s="1504"/>
      <c r="AX87" s="1504"/>
      <c r="AY87" s="1504"/>
      <c r="AZ87" s="1550"/>
    </row>
    <row r="88" spans="1:52" ht="13.5" customHeight="1">
      <c r="A88" s="1551"/>
      <c r="B88" s="1552"/>
      <c r="C88" s="1552"/>
      <c r="D88" s="1552"/>
      <c r="E88" s="1552"/>
      <c r="F88" s="1552"/>
      <c r="G88" s="1552"/>
      <c r="H88" s="1552"/>
      <c r="I88" s="1552"/>
      <c r="J88" s="1552"/>
      <c r="K88" s="1552"/>
      <c r="L88" s="1552"/>
      <c r="M88" s="1552"/>
      <c r="N88" s="1552"/>
      <c r="O88" s="1552"/>
      <c r="P88" s="1413"/>
      <c r="Q88" s="1413"/>
      <c r="R88" s="1413"/>
      <c r="S88" s="1413"/>
      <c r="T88" s="1413"/>
      <c r="U88" s="1413"/>
      <c r="V88" s="1413"/>
      <c r="W88" s="1413"/>
      <c r="X88" s="1413"/>
      <c r="Y88" s="1413"/>
      <c r="Z88" s="1413"/>
      <c r="AA88" s="1413"/>
      <c r="AB88" s="1413"/>
      <c r="AC88" s="1413"/>
      <c r="AD88" s="1504"/>
      <c r="AE88" s="1504"/>
      <c r="AF88" s="1504"/>
      <c r="AG88" s="1504"/>
      <c r="AH88" s="1504"/>
      <c r="AI88" s="1504"/>
      <c r="AJ88" s="1504"/>
      <c r="AK88" s="1504"/>
      <c r="AL88" s="1504"/>
      <c r="AM88" s="1504"/>
      <c r="AN88" s="1504"/>
      <c r="AO88" s="1504"/>
      <c r="AP88" s="1504"/>
      <c r="AQ88" s="1504"/>
      <c r="AR88" s="1504"/>
      <c r="AS88" s="1504"/>
      <c r="AT88" s="1504"/>
      <c r="AU88" s="1504"/>
      <c r="AV88" s="1504"/>
      <c r="AW88" s="1504"/>
      <c r="AX88" s="1504"/>
      <c r="AY88" s="1504"/>
      <c r="AZ88" s="1550"/>
    </row>
    <row r="89" spans="1:52" ht="12.75" customHeight="1">
      <c r="A89" s="1548"/>
      <c r="B89" s="1549"/>
      <c r="C89" s="1549"/>
      <c r="D89" s="1549"/>
      <c r="E89" s="1549"/>
      <c r="F89" s="1549"/>
      <c r="G89" s="1549"/>
      <c r="H89" s="1549"/>
      <c r="I89" s="1549"/>
      <c r="J89" s="1549"/>
      <c r="K89" s="1549"/>
      <c r="L89" s="1549"/>
      <c r="M89" s="1549"/>
      <c r="N89" s="1549"/>
      <c r="O89" s="1549"/>
      <c r="P89" s="1413"/>
      <c r="Q89" s="1413"/>
      <c r="R89" s="1413"/>
      <c r="S89" s="1413"/>
      <c r="T89" s="1413"/>
      <c r="U89" s="1413"/>
      <c r="V89" s="1413"/>
      <c r="W89" s="1413"/>
      <c r="X89" s="1413"/>
      <c r="Y89" s="1413"/>
      <c r="Z89" s="1413"/>
      <c r="AA89" s="1413"/>
      <c r="AB89" s="1413"/>
      <c r="AC89" s="1413"/>
      <c r="AD89" s="1504"/>
      <c r="AE89" s="1504"/>
      <c r="AF89" s="1504"/>
      <c r="AG89" s="1504"/>
      <c r="AH89" s="1504"/>
      <c r="AI89" s="1504"/>
      <c r="AJ89" s="1504"/>
      <c r="AK89" s="1504"/>
      <c r="AL89" s="1504"/>
      <c r="AM89" s="1504"/>
      <c r="AN89" s="1504"/>
      <c r="AO89" s="1504"/>
      <c r="AP89" s="1504"/>
      <c r="AQ89" s="1504"/>
      <c r="AR89" s="1504"/>
      <c r="AS89" s="1504"/>
      <c r="AT89" s="1504"/>
      <c r="AU89" s="1504"/>
      <c r="AV89" s="1504"/>
      <c r="AW89" s="1504"/>
      <c r="AX89" s="1504"/>
      <c r="AY89" s="1504"/>
      <c r="AZ89" s="1550"/>
    </row>
    <row r="90" spans="1:52" ht="13.5" customHeight="1">
      <c r="A90" s="1548"/>
      <c r="B90" s="1549"/>
      <c r="C90" s="1549"/>
      <c r="D90" s="1549"/>
      <c r="E90" s="1549"/>
      <c r="F90" s="1549"/>
      <c r="G90" s="1549"/>
      <c r="H90" s="1549"/>
      <c r="I90" s="1549"/>
      <c r="J90" s="1549"/>
      <c r="K90" s="1549"/>
      <c r="L90" s="1549"/>
      <c r="M90" s="1549"/>
      <c r="N90" s="1549"/>
      <c r="O90" s="1549"/>
      <c r="P90" s="1413"/>
      <c r="Q90" s="1413"/>
      <c r="R90" s="1413"/>
      <c r="S90" s="1413"/>
      <c r="T90" s="1413"/>
      <c r="U90" s="1413"/>
      <c r="V90" s="1413"/>
      <c r="W90" s="1413"/>
      <c r="X90" s="1413"/>
      <c r="Y90" s="1413"/>
      <c r="Z90" s="1413"/>
      <c r="AA90" s="1413"/>
      <c r="AB90" s="1413"/>
      <c r="AC90" s="1413"/>
      <c r="AD90" s="1504"/>
      <c r="AE90" s="1504"/>
      <c r="AF90" s="1504"/>
      <c r="AG90" s="1504"/>
      <c r="AH90" s="1504"/>
      <c r="AI90" s="1504"/>
      <c r="AJ90" s="1504"/>
      <c r="AK90" s="1504"/>
      <c r="AL90" s="1504"/>
      <c r="AM90" s="1504"/>
      <c r="AN90" s="1504"/>
      <c r="AO90" s="1504"/>
      <c r="AP90" s="1504"/>
      <c r="AQ90" s="1504"/>
      <c r="AR90" s="1504"/>
      <c r="AS90" s="1504"/>
      <c r="AT90" s="1504"/>
      <c r="AU90" s="1504"/>
      <c r="AV90" s="1504"/>
      <c r="AW90" s="1504"/>
      <c r="AX90" s="1504"/>
      <c r="AY90" s="1504"/>
      <c r="AZ90" s="1550"/>
    </row>
    <row r="91" spans="1:52" ht="12.75" customHeight="1">
      <c r="A91" s="1548"/>
      <c r="B91" s="1549"/>
      <c r="C91" s="1549"/>
      <c r="D91" s="1549"/>
      <c r="E91" s="1549"/>
      <c r="F91" s="1549"/>
      <c r="G91" s="1549"/>
      <c r="H91" s="1549"/>
      <c r="I91" s="1549"/>
      <c r="J91" s="1549"/>
      <c r="K91" s="1549"/>
      <c r="L91" s="1549"/>
      <c r="M91" s="1549"/>
      <c r="N91" s="1549"/>
      <c r="O91" s="1549"/>
      <c r="P91" s="1413"/>
      <c r="Q91" s="1413"/>
      <c r="R91" s="1413"/>
      <c r="S91" s="1413"/>
      <c r="T91" s="1413"/>
      <c r="U91" s="1413"/>
      <c r="V91" s="1413"/>
      <c r="W91" s="1413"/>
      <c r="X91" s="1413"/>
      <c r="Y91" s="1413"/>
      <c r="Z91" s="1413"/>
      <c r="AA91" s="1413"/>
      <c r="AB91" s="1413"/>
      <c r="AC91" s="1413"/>
      <c r="AD91" s="1504"/>
      <c r="AE91" s="1504"/>
      <c r="AF91" s="1504"/>
      <c r="AG91" s="1504"/>
      <c r="AH91" s="1504"/>
      <c r="AI91" s="1504"/>
      <c r="AJ91" s="1504"/>
      <c r="AK91" s="1504"/>
      <c r="AL91" s="1504"/>
      <c r="AM91" s="1504"/>
      <c r="AN91" s="1504"/>
      <c r="AO91" s="1504"/>
      <c r="AP91" s="1504"/>
      <c r="AQ91" s="1504"/>
      <c r="AR91" s="1504"/>
      <c r="AS91" s="1504"/>
      <c r="AT91" s="1504"/>
      <c r="AU91" s="1504"/>
      <c r="AV91" s="1504"/>
      <c r="AW91" s="1504"/>
      <c r="AX91" s="1504"/>
      <c r="AY91" s="1504"/>
      <c r="AZ91" s="1550"/>
    </row>
    <row r="92" spans="1:52" ht="13.5" customHeight="1" thickBot="1">
      <c r="A92" s="1548"/>
      <c r="B92" s="1549"/>
      <c r="C92" s="1549"/>
      <c r="D92" s="1549"/>
      <c r="E92" s="1549"/>
      <c r="F92" s="1549"/>
      <c r="G92" s="1549"/>
      <c r="H92" s="1549"/>
      <c r="I92" s="1549"/>
      <c r="J92" s="1549"/>
      <c r="K92" s="1549"/>
      <c r="L92" s="1549"/>
      <c r="M92" s="1549"/>
      <c r="N92" s="1549"/>
      <c r="O92" s="1549"/>
      <c r="P92" s="1413"/>
      <c r="Q92" s="1413"/>
      <c r="R92" s="1413"/>
      <c r="S92" s="1413"/>
      <c r="T92" s="1413"/>
      <c r="U92" s="1413"/>
      <c r="V92" s="1413"/>
      <c r="W92" s="1413"/>
      <c r="X92" s="1413"/>
      <c r="Y92" s="1413"/>
      <c r="Z92" s="1413"/>
      <c r="AA92" s="1413"/>
      <c r="AB92" s="1413"/>
      <c r="AC92" s="1413"/>
      <c r="AD92" s="1504"/>
      <c r="AE92" s="1504"/>
      <c r="AF92" s="1504"/>
      <c r="AG92" s="1504"/>
      <c r="AH92" s="1504"/>
      <c r="AI92" s="1504"/>
      <c r="AJ92" s="1504"/>
      <c r="AK92" s="1504"/>
      <c r="AL92" s="1504"/>
      <c r="AM92" s="1504"/>
      <c r="AN92" s="1504"/>
      <c r="AO92" s="1504"/>
      <c r="AP92" s="1504"/>
      <c r="AQ92" s="1504"/>
      <c r="AR92" s="1504"/>
      <c r="AS92" s="1504"/>
      <c r="AT92" s="1504"/>
      <c r="AU92" s="1504"/>
      <c r="AV92" s="1504"/>
      <c r="AW92" s="1504"/>
      <c r="AX92" s="1504"/>
      <c r="AY92" s="1504"/>
      <c r="AZ92" s="1550"/>
    </row>
    <row r="93" spans="1:52" ht="21" customHeight="1">
      <c r="A93" s="1399" t="str">
        <f>VLOOKUP("Freigabe:",Translations!$A:$T,MATCH(Cover!DR19,Translations!A2:P2,0),0)</f>
        <v>Approval:</v>
      </c>
      <c r="B93" s="1400"/>
      <c r="C93" s="1400"/>
      <c r="D93" s="1400"/>
      <c r="E93" s="1400"/>
      <c r="F93" s="627"/>
      <c r="G93" s="627"/>
      <c r="H93" s="627"/>
      <c r="I93" s="627"/>
      <c r="J93" s="627"/>
      <c r="K93" s="627"/>
      <c r="L93" s="627"/>
      <c r="M93" s="627"/>
      <c r="N93" s="627"/>
      <c r="O93" s="627"/>
      <c r="P93" s="627"/>
      <c r="Q93" s="627"/>
      <c r="R93" s="627"/>
      <c r="S93" s="627"/>
      <c r="T93" s="627"/>
      <c r="U93" s="627"/>
      <c r="V93" s="627"/>
      <c r="W93" s="627"/>
      <c r="X93" s="627"/>
      <c r="Y93" s="627"/>
      <c r="Z93" s="627"/>
      <c r="AA93" s="627"/>
      <c r="AB93" s="627"/>
      <c r="AC93" s="627"/>
      <c r="AD93" s="627"/>
      <c r="AE93" s="627"/>
      <c r="AF93" s="627"/>
      <c r="AG93" s="627"/>
      <c r="AH93" s="627"/>
      <c r="AI93" s="627"/>
      <c r="AJ93" s="627"/>
      <c r="AK93" s="627"/>
      <c r="AL93" s="627"/>
      <c r="AM93" s="627"/>
      <c r="AN93" s="627"/>
      <c r="AO93" s="627"/>
      <c r="AP93" s="627"/>
      <c r="AQ93" s="627"/>
      <c r="AR93" s="627"/>
      <c r="AS93" s="627"/>
      <c r="AT93" s="627"/>
      <c r="AU93" s="627"/>
      <c r="AV93" s="627"/>
      <c r="AW93" s="627"/>
      <c r="AX93" s="627"/>
      <c r="AY93" s="627"/>
      <c r="AZ93" s="631"/>
    </row>
    <row r="94" spans="1:52" ht="12.75" customHeight="1">
      <c r="A94" s="632"/>
      <c r="B94" s="1433"/>
      <c r="C94" s="1433"/>
      <c r="D94" s="1433"/>
      <c r="E94" s="1433"/>
      <c r="F94" s="1433"/>
      <c r="G94" s="1433"/>
      <c r="H94" s="1433"/>
      <c r="I94" s="1433"/>
      <c r="J94" s="1433"/>
      <c r="K94" s="1433"/>
      <c r="L94" s="1433"/>
      <c r="M94" s="75"/>
      <c r="N94" s="75"/>
      <c r="O94" s="75"/>
      <c r="P94" s="75"/>
      <c r="Q94" s="75"/>
      <c r="R94" s="75"/>
      <c r="S94" s="75"/>
      <c r="T94" s="75"/>
      <c r="U94" s="75"/>
      <c r="V94" s="75"/>
      <c r="W94" s="75"/>
      <c r="X94" s="75"/>
      <c r="Y94" s="75"/>
      <c r="Z94" s="75"/>
      <c r="AA94" s="75"/>
      <c r="AB94" s="75"/>
      <c r="AC94" s="75"/>
      <c r="AD94" s="75"/>
      <c r="AE94" s="75"/>
      <c r="AF94" s="75"/>
      <c r="AG94" s="75"/>
      <c r="AH94" s="75"/>
      <c r="AI94" s="75"/>
      <c r="AJ94" s="75"/>
      <c r="AK94" s="75"/>
      <c r="AL94" s="75"/>
      <c r="AM94" s="1433"/>
      <c r="AN94" s="1433"/>
      <c r="AO94" s="1433"/>
      <c r="AP94" s="1433"/>
      <c r="AQ94" s="1433"/>
      <c r="AR94" s="1433"/>
      <c r="AS94" s="1433"/>
      <c r="AT94" s="1433"/>
      <c r="AU94" s="1433"/>
      <c r="AV94" s="1433"/>
      <c r="AW94" s="1433"/>
      <c r="AX94" s="1433"/>
      <c r="AY94" s="1433"/>
      <c r="AZ94" s="633"/>
    </row>
    <row r="95" spans="1:52" ht="19.5" customHeight="1">
      <c r="A95" s="632"/>
      <c r="B95" s="1433"/>
      <c r="C95" s="1433"/>
      <c r="D95" s="1433"/>
      <c r="E95" s="1433"/>
      <c r="F95" s="1433"/>
      <c r="G95" s="1433"/>
      <c r="H95" s="1433"/>
      <c r="I95" s="1433"/>
      <c r="J95" s="1433"/>
      <c r="K95" s="1433"/>
      <c r="L95" s="1433"/>
      <c r="M95" s="75"/>
      <c r="N95" s="75"/>
      <c r="O95" s="75"/>
      <c r="P95" s="75"/>
      <c r="Q95" s="75"/>
      <c r="R95" s="75"/>
      <c r="S95" s="75"/>
      <c r="T95" s="75"/>
      <c r="U95" s="75"/>
      <c r="V95" s="75"/>
      <c r="W95" s="75"/>
      <c r="X95" s="75"/>
      <c r="Y95" s="75"/>
      <c r="Z95" s="75"/>
      <c r="AA95" s="75"/>
      <c r="AB95" s="75"/>
      <c r="AC95" s="75"/>
      <c r="AD95" s="75"/>
      <c r="AE95" s="75"/>
      <c r="AF95" s="75"/>
      <c r="AG95" s="75"/>
      <c r="AH95" s="75"/>
      <c r="AI95" s="75"/>
      <c r="AJ95" s="75"/>
      <c r="AK95" s="75"/>
      <c r="AL95" s="75"/>
      <c r="AM95" s="1433"/>
      <c r="AN95" s="1433"/>
      <c r="AO95" s="1433"/>
      <c r="AP95" s="1433"/>
      <c r="AQ95" s="1433"/>
      <c r="AR95" s="1433"/>
      <c r="AS95" s="1433"/>
      <c r="AT95" s="1433"/>
      <c r="AU95" s="1433"/>
      <c r="AV95" s="1433"/>
      <c r="AW95" s="1433"/>
      <c r="AX95" s="1433"/>
      <c r="AY95" s="1433"/>
      <c r="AZ95" s="633"/>
    </row>
    <row r="96" spans="1:52" ht="15" customHeight="1">
      <c r="A96" s="632"/>
      <c r="B96" s="1436"/>
      <c r="C96" s="1436"/>
      <c r="D96" s="1436"/>
      <c r="E96" s="1436"/>
      <c r="F96" s="1436"/>
      <c r="G96" s="1436"/>
      <c r="H96" s="1436"/>
      <c r="I96" s="1436"/>
      <c r="J96" s="1436"/>
      <c r="K96" s="1436"/>
      <c r="L96" s="1436"/>
      <c r="M96" s="75"/>
      <c r="N96" s="75"/>
      <c r="O96" s="75"/>
      <c r="P96" s="75"/>
      <c r="Q96" s="75"/>
      <c r="R96" s="75"/>
      <c r="S96" s="75"/>
      <c r="T96" s="75"/>
      <c r="U96" s="75"/>
      <c r="V96" s="75"/>
      <c r="W96" s="75"/>
      <c r="X96" s="75"/>
      <c r="Y96" s="75"/>
      <c r="Z96" s="75"/>
      <c r="AA96" s="75"/>
      <c r="AB96" s="75"/>
      <c r="AC96" s="75"/>
      <c r="AD96" s="75"/>
      <c r="AE96" s="75"/>
      <c r="AF96" s="75"/>
      <c r="AG96" s="75"/>
      <c r="AH96" s="75"/>
      <c r="AI96" s="75"/>
      <c r="AJ96" s="75"/>
      <c r="AK96" s="75"/>
      <c r="AL96" s="75"/>
      <c r="AM96" s="1436"/>
      <c r="AN96" s="1436"/>
      <c r="AO96" s="1436"/>
      <c r="AP96" s="1436"/>
      <c r="AQ96" s="1436"/>
      <c r="AR96" s="1436"/>
      <c r="AS96" s="1436"/>
      <c r="AT96" s="1436"/>
      <c r="AU96" s="1436"/>
      <c r="AV96" s="1436"/>
      <c r="AW96" s="1436"/>
      <c r="AX96" s="1436"/>
      <c r="AY96" s="1436"/>
      <c r="AZ96" s="633"/>
    </row>
    <row r="97" spans="1:52" ht="15.75" thickBot="1">
      <c r="A97" s="634"/>
      <c r="B97" s="1576" t="s">
        <v>104</v>
      </c>
      <c r="C97" s="1576"/>
      <c r="D97" s="1576"/>
      <c r="E97" s="1576"/>
      <c r="F97" s="1576"/>
      <c r="G97" s="1576"/>
      <c r="H97" s="1576"/>
      <c r="I97" s="1576"/>
      <c r="J97" s="1576"/>
      <c r="K97" s="1576"/>
      <c r="L97" s="1576"/>
      <c r="M97" s="648"/>
      <c r="N97" s="648"/>
      <c r="O97" s="648"/>
      <c r="P97" s="648"/>
      <c r="Q97" s="648"/>
      <c r="R97" s="648"/>
      <c r="S97" s="648"/>
      <c r="T97" s="648"/>
      <c r="U97" s="648"/>
      <c r="V97" s="648"/>
      <c r="W97" s="648"/>
      <c r="X97" s="648"/>
      <c r="Y97" s="648"/>
      <c r="Z97" s="648"/>
      <c r="AA97" s="648"/>
      <c r="AB97" s="648"/>
      <c r="AC97" s="648"/>
      <c r="AD97" s="648"/>
      <c r="AE97" s="648"/>
      <c r="AF97" s="648"/>
      <c r="AG97" s="648"/>
      <c r="AH97" s="648"/>
      <c r="AI97" s="648"/>
      <c r="AJ97" s="648"/>
      <c r="AK97" s="648"/>
      <c r="AL97" s="648"/>
      <c r="AM97" s="1576" t="s">
        <v>105</v>
      </c>
      <c r="AN97" s="1576"/>
      <c r="AO97" s="1576"/>
      <c r="AP97" s="1576"/>
      <c r="AQ97" s="1576"/>
      <c r="AR97" s="1576"/>
      <c r="AS97" s="1576"/>
      <c r="AT97" s="1576"/>
      <c r="AU97" s="1576"/>
      <c r="AV97" s="1576"/>
      <c r="AW97" s="1576"/>
      <c r="AX97" s="1576"/>
      <c r="AY97" s="1576"/>
      <c r="AZ97" s="636"/>
    </row>
  </sheetData>
  <sheetProtection algorithmName="SHA-512" hashValue="3CU2l5fjMrmvJvs049tXvRLheaxLzTDGEl53UhWZJB9tbPLUuOuCGriKJ3hh0OwOficYnK6XnAO+YIIIMbJnjQ==" saltValue="ZEQHECNw42V7gWa5Z/BLsg==" spinCount="100000" sheet="1" scenarios="1" formatCells="0" formatColumns="0" formatRows="0" selectLockedCells="1"/>
  <mergeCells count="130">
    <mergeCell ref="A93:E93"/>
    <mergeCell ref="AM97:AY97"/>
    <mergeCell ref="B97:L97"/>
    <mergeCell ref="A10:O12"/>
    <mergeCell ref="A5:O8"/>
    <mergeCell ref="A18:AZ18"/>
    <mergeCell ref="A78:AZ78"/>
    <mergeCell ref="B94:L96"/>
    <mergeCell ref="AM94:AY96"/>
    <mergeCell ref="AD31:AZ32"/>
    <mergeCell ref="P25:V26"/>
    <mergeCell ref="W25:AC26"/>
    <mergeCell ref="P29:V30"/>
    <mergeCell ref="W29:AC30"/>
    <mergeCell ref="A40:O41"/>
    <mergeCell ref="P40:V41"/>
    <mergeCell ref="W40:AC41"/>
    <mergeCell ref="AD40:AZ41"/>
    <mergeCell ref="A42:O43"/>
    <mergeCell ref="P42:AC43"/>
    <mergeCell ref="AD42:AZ43"/>
    <mergeCell ref="A34:AZ35"/>
    <mergeCell ref="A36:O37"/>
    <mergeCell ref="P36:V37"/>
    <mergeCell ref="A4:O4"/>
    <mergeCell ref="A9:O9"/>
    <mergeCell ref="P4:AZ8"/>
    <mergeCell ref="P9:AZ12"/>
    <mergeCell ref="A23:O24"/>
    <mergeCell ref="A25:O26"/>
    <mergeCell ref="A27:O28"/>
    <mergeCell ref="A29:O30"/>
    <mergeCell ref="A31:O32"/>
    <mergeCell ref="P31:V32"/>
    <mergeCell ref="A13:AZ14"/>
    <mergeCell ref="A16:AZ17"/>
    <mergeCell ref="A19:AZ20"/>
    <mergeCell ref="A21:O22"/>
    <mergeCell ref="P21:V22"/>
    <mergeCell ref="W21:AC22"/>
    <mergeCell ref="AD21:AZ22"/>
    <mergeCell ref="W31:AC32"/>
    <mergeCell ref="P23:AC24"/>
    <mergeCell ref="P27:AC28"/>
    <mergeCell ref="AD23:AZ24"/>
    <mergeCell ref="AD25:AZ26"/>
    <mergeCell ref="AD27:AZ28"/>
    <mergeCell ref="AD29:AZ30"/>
    <mergeCell ref="W36:AC37"/>
    <mergeCell ref="AD36:AZ37"/>
    <mergeCell ref="A38:O39"/>
    <mergeCell ref="P38:AC39"/>
    <mergeCell ref="AD38:AZ39"/>
    <mergeCell ref="A49:AZ50"/>
    <mergeCell ref="A51:O52"/>
    <mergeCell ref="P51:V52"/>
    <mergeCell ref="W51:AC52"/>
    <mergeCell ref="AD51:AZ52"/>
    <mergeCell ref="A53:O54"/>
    <mergeCell ref="P53:AC54"/>
    <mergeCell ref="AD53:AZ54"/>
    <mergeCell ref="A44:O45"/>
    <mergeCell ref="P44:V45"/>
    <mergeCell ref="W44:AC45"/>
    <mergeCell ref="AD44:AZ45"/>
    <mergeCell ref="A46:O47"/>
    <mergeCell ref="P46:V47"/>
    <mergeCell ref="W46:AC47"/>
    <mergeCell ref="AD46:AZ47"/>
    <mergeCell ref="A59:O60"/>
    <mergeCell ref="P59:V60"/>
    <mergeCell ref="W59:AC60"/>
    <mergeCell ref="AD59:AZ60"/>
    <mergeCell ref="A61:O62"/>
    <mergeCell ref="P61:V62"/>
    <mergeCell ref="W61:AC62"/>
    <mergeCell ref="AD61:AZ62"/>
    <mergeCell ref="A55:O56"/>
    <mergeCell ref="P55:V56"/>
    <mergeCell ref="W55:AC56"/>
    <mergeCell ref="AD55:AZ56"/>
    <mergeCell ref="A57:O58"/>
    <mergeCell ref="P57:AC58"/>
    <mergeCell ref="AD57:AZ58"/>
    <mergeCell ref="A70:O71"/>
    <mergeCell ref="P70:V71"/>
    <mergeCell ref="W70:AC71"/>
    <mergeCell ref="AD70:AZ71"/>
    <mergeCell ref="A72:O73"/>
    <mergeCell ref="P72:AC73"/>
    <mergeCell ref="AD72:AZ73"/>
    <mergeCell ref="A64:AZ65"/>
    <mergeCell ref="A66:O67"/>
    <mergeCell ref="P66:V67"/>
    <mergeCell ref="W66:AC67"/>
    <mergeCell ref="AD66:AZ67"/>
    <mergeCell ref="A68:O69"/>
    <mergeCell ref="P68:AC69"/>
    <mergeCell ref="AD68:AZ69"/>
    <mergeCell ref="A79:AZ80"/>
    <mergeCell ref="A81:O82"/>
    <mergeCell ref="P81:V82"/>
    <mergeCell ref="W81:AC82"/>
    <mergeCell ref="AD81:AZ82"/>
    <mergeCell ref="A83:O84"/>
    <mergeCell ref="P83:AC84"/>
    <mergeCell ref="AD83:AZ84"/>
    <mergeCell ref="A74:O75"/>
    <mergeCell ref="P74:V75"/>
    <mergeCell ref="W74:AC75"/>
    <mergeCell ref="AD74:AZ75"/>
    <mergeCell ref="A76:O77"/>
    <mergeCell ref="P76:V77"/>
    <mergeCell ref="W76:AC77"/>
    <mergeCell ref="AD76:AZ77"/>
    <mergeCell ref="A89:O90"/>
    <mergeCell ref="P89:V90"/>
    <mergeCell ref="W89:AC90"/>
    <mergeCell ref="AD89:AZ90"/>
    <mergeCell ref="A91:O92"/>
    <mergeCell ref="P91:V92"/>
    <mergeCell ref="W91:AC92"/>
    <mergeCell ref="AD91:AZ92"/>
    <mergeCell ref="A85:O86"/>
    <mergeCell ref="P85:V86"/>
    <mergeCell ref="W85:AC86"/>
    <mergeCell ref="AD85:AZ86"/>
    <mergeCell ref="A87:O88"/>
    <mergeCell ref="P87:AC88"/>
    <mergeCell ref="AD87:AZ88"/>
  </mergeCells>
  <printOptions horizontalCentered="1"/>
  <pageMargins left="0.45" right="0.47" top="0.73" bottom="0.54" header="0.31496062992125984" footer="0.31496062992125984"/>
  <pageSetup paperSize="9" scale="53" fitToHeight="0" orientation="portrait" r:id="rId1"/>
  <headerFooter>
    <oddHeader>&amp;R&amp;G</oddHeader>
    <oddFooter>&amp;LMHG-PU-F-0019&amp;CPPA-Template ; Rev.: 02/2018&amp;RJ.-U. Liedtke / PU-SD-GA</oddFooter>
  </headerFooter>
  <legacyDrawingHF r:id="rId2"/>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pageSetUpPr fitToPage="1"/>
  </sheetPr>
  <dimension ref="A1:AO193"/>
  <sheetViews>
    <sheetView showGridLines="0" zoomScaleNormal="100" zoomScalePageLayoutView="90" workbookViewId="0">
      <selection activeCell="A44" sqref="A44:F44"/>
    </sheetView>
  </sheetViews>
  <sheetFormatPr baseColWidth="10" defaultColWidth="9.140625" defaultRowHeight="12.75"/>
  <cols>
    <col min="1" max="1" width="0.7109375" style="24" customWidth="1"/>
    <col min="2" max="2" width="3" style="24" customWidth="1"/>
    <col min="3" max="3" width="0.7109375" style="24" customWidth="1"/>
    <col min="4" max="4" width="5" style="24" customWidth="1"/>
    <col min="5" max="5" width="8.42578125" style="24" customWidth="1"/>
    <col min="6" max="6" width="7.7109375" style="24" customWidth="1"/>
    <col min="7" max="7" width="9" style="24" customWidth="1"/>
    <col min="8" max="9" width="3.42578125" style="24" customWidth="1"/>
    <col min="10" max="10" width="4" style="24" customWidth="1"/>
    <col min="11" max="11" width="5" style="24" customWidth="1"/>
    <col min="12" max="13" width="3.85546875" style="24" customWidth="1"/>
    <col min="14" max="15" width="3.42578125" style="24" customWidth="1"/>
    <col min="16" max="16" width="5" style="24" customWidth="1"/>
    <col min="17" max="17" width="2.7109375" style="24" customWidth="1"/>
    <col min="18" max="18" width="0.7109375" style="24" customWidth="1"/>
    <col min="19" max="19" width="3" style="24" customWidth="1"/>
    <col min="20" max="20" width="0.7109375" style="24" customWidth="1"/>
    <col min="21" max="21" width="3.5703125" style="24" customWidth="1"/>
    <col min="22" max="22" width="3.42578125" style="24" customWidth="1"/>
    <col min="23" max="23" width="3.85546875" style="24" customWidth="1"/>
    <col min="24" max="24" width="1.140625" style="24" customWidth="1"/>
    <col min="25" max="25" width="4.7109375" style="24" customWidth="1"/>
    <col min="26" max="26" width="3.7109375" style="24" customWidth="1"/>
    <col min="27" max="29" width="3.42578125" style="24" customWidth="1"/>
    <col min="30" max="30" width="6.7109375" style="24" customWidth="1"/>
    <col min="31" max="31" width="3.42578125" style="24" customWidth="1"/>
    <col min="32" max="32" width="2.42578125" style="24" customWidth="1"/>
    <col min="33" max="37" width="3.42578125" style="24" customWidth="1"/>
    <col min="38" max="39" width="1.42578125" style="24" customWidth="1"/>
    <col min="40" max="40" width="3.42578125" style="24" customWidth="1"/>
    <col min="41" max="16384" width="9.140625" style="24"/>
  </cols>
  <sheetData>
    <row r="1" spans="1:40" ht="9" customHeight="1"/>
    <row r="2" spans="1:40" ht="12.75" customHeight="1">
      <c r="A2" s="912" t="str">
        <f>VLOOKUP("prozessbezogene und sonstige dokumente",Translations!$A:$T,MATCH(Cover!DR19,Translations!A2:P2,0),0)</f>
        <v>Process-related and other documents</v>
      </c>
      <c r="B2" s="912"/>
      <c r="C2" s="912"/>
      <c r="D2" s="912"/>
      <c r="E2" s="912"/>
      <c r="F2" s="912"/>
      <c r="G2" s="912"/>
      <c r="H2" s="912"/>
      <c r="I2" s="912"/>
      <c r="J2" s="912"/>
      <c r="K2" s="912"/>
      <c r="L2" s="912"/>
      <c r="M2" s="912"/>
      <c r="N2" s="912"/>
      <c r="O2" s="912"/>
      <c r="P2" s="912"/>
      <c r="Q2" s="912"/>
      <c r="R2" s="912"/>
      <c r="S2" s="912"/>
      <c r="T2" s="912"/>
      <c r="U2" s="912"/>
      <c r="V2" s="912"/>
      <c r="W2" s="912"/>
      <c r="X2" s="912"/>
      <c r="Y2" s="912"/>
      <c r="Z2" s="912"/>
      <c r="AA2" s="912"/>
      <c r="AB2" s="912"/>
      <c r="AC2" s="912"/>
      <c r="AD2" s="912"/>
      <c r="AE2" s="912"/>
      <c r="AF2" s="912"/>
      <c r="AG2" s="912"/>
      <c r="AH2" s="912"/>
    </row>
    <row r="3" spans="1:40" ht="12.75" customHeight="1">
      <c r="A3" s="912"/>
      <c r="B3" s="912"/>
      <c r="C3" s="912"/>
      <c r="D3" s="912"/>
      <c r="E3" s="912"/>
      <c r="F3" s="912"/>
      <c r="G3" s="912"/>
      <c r="H3" s="912"/>
      <c r="I3" s="912"/>
      <c r="J3" s="912"/>
      <c r="K3" s="912"/>
      <c r="L3" s="912"/>
      <c r="M3" s="912"/>
      <c r="N3" s="912"/>
      <c r="O3" s="912"/>
      <c r="P3" s="912"/>
      <c r="Q3" s="912"/>
      <c r="R3" s="912"/>
      <c r="S3" s="912"/>
      <c r="T3" s="912"/>
      <c r="U3" s="912"/>
      <c r="V3" s="912"/>
      <c r="W3" s="912"/>
      <c r="X3" s="912"/>
      <c r="Y3" s="912"/>
      <c r="Z3" s="912"/>
      <c r="AA3" s="912"/>
      <c r="AB3" s="912"/>
      <c r="AC3" s="912"/>
      <c r="AD3" s="912"/>
      <c r="AE3" s="912"/>
      <c r="AF3" s="912"/>
      <c r="AG3" s="912"/>
      <c r="AH3" s="912"/>
    </row>
    <row r="4" spans="1:40" ht="10.5" customHeight="1">
      <c r="A4" s="912"/>
      <c r="B4" s="912"/>
      <c r="C4" s="912"/>
      <c r="D4" s="912"/>
      <c r="E4" s="912"/>
      <c r="F4" s="912"/>
      <c r="G4" s="912"/>
      <c r="H4" s="912"/>
      <c r="I4" s="912"/>
      <c r="J4" s="912"/>
      <c r="K4" s="912"/>
      <c r="L4" s="912"/>
      <c r="M4" s="912"/>
      <c r="N4" s="912"/>
      <c r="O4" s="912"/>
      <c r="P4" s="912"/>
      <c r="Q4" s="912"/>
      <c r="R4" s="912"/>
      <c r="S4" s="912"/>
      <c r="T4" s="912"/>
      <c r="U4" s="912"/>
      <c r="V4" s="912"/>
      <c r="W4" s="912"/>
      <c r="X4" s="912"/>
      <c r="Y4" s="912"/>
      <c r="Z4" s="912"/>
      <c r="AA4" s="912"/>
      <c r="AB4" s="912"/>
      <c r="AC4" s="912"/>
      <c r="AD4" s="912"/>
      <c r="AE4" s="912"/>
      <c r="AF4" s="912"/>
      <c r="AG4" s="912"/>
      <c r="AH4" s="912"/>
    </row>
    <row r="5" spans="1:40" ht="15" customHeight="1">
      <c r="D5" s="615"/>
      <c r="E5" s="612" t="str">
        <f>VLOOKUP("blatt",Translations!$A:$T,MATCH(Cover!DR19,Translations!A2:P2,0),0)</f>
        <v>Page</v>
      </c>
      <c r="F5" s="361"/>
      <c r="G5" s="62" t="str">
        <f>VLOOKUP("vonvv",Translations!$A:$T,MATCH(Cover!DR19,Translations!A2:P2,0),0)</f>
        <v>of</v>
      </c>
      <c r="H5" s="1151"/>
      <c r="I5" s="1151"/>
      <c r="X5" s="1186" t="str">
        <f>VLOOKUP("standyy",Translations!$A:$T,MATCH(Cover!DR19,Translations!A2:P2,0),0)</f>
        <v>Status:</v>
      </c>
      <c r="Y5" s="1186"/>
      <c r="Z5" s="1186"/>
      <c r="AA5" s="1151"/>
      <c r="AB5" s="1151"/>
      <c r="AC5" s="1151"/>
      <c r="AD5" s="1151"/>
      <c r="AE5" s="1186" t="str">
        <f>VLOOKUP("ydatumf",Translations!$A:$T,MATCH(Cover!DR19,Translations!A2:P2,0),0)</f>
        <v>/ Date:</v>
      </c>
      <c r="AF5" s="1186"/>
      <c r="AG5" s="1186"/>
      <c r="AH5" s="1186"/>
      <c r="AI5" s="1150"/>
      <c r="AJ5" s="1150"/>
      <c r="AK5" s="1150"/>
      <c r="AL5" s="1150"/>
      <c r="AM5" s="1150"/>
    </row>
    <row r="6" spans="1:40" ht="4.5" customHeight="1" thickBot="1">
      <c r="B6" s="113"/>
      <c r="C6" s="113"/>
    </row>
    <row r="7" spans="1:40" ht="3" customHeight="1">
      <c r="A7" s="279"/>
      <c r="B7" s="280"/>
      <c r="C7" s="280"/>
      <c r="D7" s="1148"/>
      <c r="E7" s="1148"/>
      <c r="F7" s="1148"/>
      <c r="G7" s="1148"/>
      <c r="H7" s="1148"/>
      <c r="I7" s="1148"/>
      <c r="J7" s="1148"/>
      <c r="K7" s="1148"/>
      <c r="L7" s="1148"/>
      <c r="M7" s="1148"/>
      <c r="N7" s="1148"/>
      <c r="O7" s="1148"/>
      <c r="P7" s="1148"/>
      <c r="Q7" s="1149"/>
      <c r="R7" s="279"/>
      <c r="S7" s="280"/>
      <c r="T7" s="280"/>
      <c r="U7" s="1148"/>
      <c r="V7" s="1148"/>
      <c r="W7" s="1148"/>
      <c r="X7" s="1148"/>
      <c r="Y7" s="1148"/>
      <c r="Z7" s="1148"/>
      <c r="AA7" s="1148"/>
      <c r="AB7" s="1148"/>
      <c r="AC7" s="1148"/>
      <c r="AD7" s="1148"/>
      <c r="AE7" s="1148"/>
      <c r="AF7" s="1148"/>
      <c r="AG7" s="1148"/>
      <c r="AH7" s="1148"/>
      <c r="AI7" s="1148"/>
      <c r="AJ7" s="1148"/>
      <c r="AK7" s="1148"/>
      <c r="AL7" s="1148"/>
      <c r="AM7" s="1148"/>
      <c r="AN7" s="1149"/>
    </row>
    <row r="8" spans="1:40" ht="15.75" customHeight="1">
      <c r="A8" s="281"/>
      <c r="B8" s="425"/>
      <c r="C8" s="282"/>
      <c r="D8" s="1146" t="str">
        <f>Cover!AB23</f>
        <v>8 Software test report</v>
      </c>
      <c r="E8" s="1146"/>
      <c r="F8" s="1146"/>
      <c r="G8" s="1146"/>
      <c r="H8" s="1146"/>
      <c r="I8" s="1146"/>
      <c r="J8" s="1146"/>
      <c r="K8" s="1146"/>
      <c r="L8" s="1146"/>
      <c r="M8" s="1146"/>
      <c r="N8" s="1146"/>
      <c r="O8" s="1146"/>
      <c r="P8" s="1146"/>
      <c r="Q8" s="1147"/>
      <c r="R8" s="281"/>
      <c r="S8" s="497" t="s">
        <v>653</v>
      </c>
      <c r="T8" s="282"/>
      <c r="U8" s="1146" t="str">
        <f>Cover!BU23</f>
        <v>16 Tooling list</v>
      </c>
      <c r="V8" s="1146"/>
      <c r="W8" s="1146"/>
      <c r="X8" s="1146"/>
      <c r="Y8" s="1146"/>
      <c r="Z8" s="1146"/>
      <c r="AA8" s="1146"/>
      <c r="AB8" s="1146"/>
      <c r="AC8" s="1146"/>
      <c r="AD8" s="1146"/>
      <c r="AE8" s="1146"/>
      <c r="AF8" s="1146"/>
      <c r="AG8" s="1146"/>
      <c r="AH8" s="1146"/>
      <c r="AI8" s="1146"/>
      <c r="AJ8" s="1146"/>
      <c r="AK8" s="1146"/>
      <c r="AL8" s="1146"/>
      <c r="AM8" s="1146"/>
      <c r="AN8" s="1147"/>
    </row>
    <row r="9" spans="1:40" ht="3" customHeight="1">
      <c r="A9" s="281"/>
      <c r="B9" s="282"/>
      <c r="C9" s="282"/>
      <c r="D9" s="407"/>
      <c r="E9" s="407"/>
      <c r="F9" s="407"/>
      <c r="G9" s="407"/>
      <c r="H9" s="407"/>
      <c r="I9" s="407"/>
      <c r="J9" s="407"/>
      <c r="K9" s="407"/>
      <c r="L9" s="407"/>
      <c r="M9" s="407"/>
      <c r="N9" s="407"/>
      <c r="O9" s="407"/>
      <c r="P9" s="407"/>
      <c r="Q9" s="408"/>
      <c r="R9" s="281"/>
      <c r="S9" s="282"/>
      <c r="T9" s="282"/>
      <c r="U9" s="407"/>
      <c r="V9" s="407"/>
      <c r="W9" s="407"/>
      <c r="X9" s="407"/>
      <c r="Y9" s="407"/>
      <c r="Z9" s="407"/>
      <c r="AA9" s="407"/>
      <c r="AB9" s="407"/>
      <c r="AC9" s="407"/>
      <c r="AD9" s="407"/>
      <c r="AE9" s="407"/>
      <c r="AF9" s="407"/>
      <c r="AG9" s="407"/>
      <c r="AH9" s="407"/>
      <c r="AI9" s="407"/>
      <c r="AJ9" s="407"/>
      <c r="AK9" s="407"/>
      <c r="AL9" s="407"/>
      <c r="AM9" s="407"/>
      <c r="AN9" s="408"/>
    </row>
    <row r="10" spans="1:40" ht="3" customHeight="1">
      <c r="A10" s="281"/>
      <c r="B10" s="282"/>
      <c r="C10" s="282"/>
      <c r="D10" s="407"/>
      <c r="E10" s="407"/>
      <c r="F10" s="407"/>
      <c r="G10" s="407"/>
      <c r="H10" s="407"/>
      <c r="I10" s="407"/>
      <c r="J10" s="407"/>
      <c r="K10" s="407"/>
      <c r="L10" s="407"/>
      <c r="M10" s="407"/>
      <c r="N10" s="407"/>
      <c r="O10" s="407"/>
      <c r="P10" s="407"/>
      <c r="Q10" s="408"/>
      <c r="R10" s="281"/>
      <c r="S10" s="282"/>
      <c r="T10" s="282"/>
      <c r="U10" s="407"/>
      <c r="V10" s="407"/>
      <c r="W10" s="407"/>
      <c r="X10" s="407"/>
      <c r="Y10" s="407"/>
      <c r="Z10" s="407"/>
      <c r="AA10" s="407"/>
      <c r="AB10" s="407"/>
      <c r="AC10" s="407"/>
      <c r="AD10" s="407"/>
      <c r="AE10" s="407"/>
      <c r="AF10" s="407"/>
      <c r="AG10" s="407"/>
      <c r="AH10" s="407"/>
      <c r="AI10" s="407"/>
      <c r="AJ10" s="407"/>
      <c r="AK10" s="407"/>
      <c r="AL10" s="407"/>
      <c r="AM10" s="407"/>
      <c r="AN10" s="408"/>
    </row>
    <row r="11" spans="1:40" ht="15.75" customHeight="1">
      <c r="A11" s="281"/>
      <c r="B11" s="425"/>
      <c r="C11" s="282"/>
      <c r="D11" s="1146" t="str">
        <f>Cover!AB25</f>
        <v>9 Process – FMEA</v>
      </c>
      <c r="E11" s="1146"/>
      <c r="F11" s="1146"/>
      <c r="G11" s="1146"/>
      <c r="H11" s="1146"/>
      <c r="I11" s="1146"/>
      <c r="J11" s="1146"/>
      <c r="K11" s="1146"/>
      <c r="L11" s="1146"/>
      <c r="M11" s="1146"/>
      <c r="N11" s="1146"/>
      <c r="O11" s="1146"/>
      <c r="P11" s="1146"/>
      <c r="Q11" s="1147"/>
      <c r="R11" s="281"/>
      <c r="S11" s="425"/>
      <c r="T11" s="282"/>
      <c r="U11" s="1146" t="str">
        <f>Cover!BU25</f>
        <v>17 Confirmation of agreed capacity</v>
      </c>
      <c r="V11" s="1146"/>
      <c r="W11" s="1146"/>
      <c r="X11" s="1146"/>
      <c r="Y11" s="1146"/>
      <c r="Z11" s="1146"/>
      <c r="AA11" s="1146"/>
      <c r="AB11" s="1146"/>
      <c r="AC11" s="1146"/>
      <c r="AD11" s="1146"/>
      <c r="AE11" s="1146"/>
      <c r="AF11" s="1146"/>
      <c r="AG11" s="1146"/>
      <c r="AH11" s="1146"/>
      <c r="AI11" s="1146"/>
      <c r="AJ11" s="1146"/>
      <c r="AK11" s="1146"/>
      <c r="AL11" s="1146"/>
      <c r="AM11" s="1146"/>
      <c r="AN11" s="1147"/>
    </row>
    <row r="12" spans="1:40" ht="3" customHeight="1">
      <c r="A12" s="281"/>
      <c r="B12" s="282"/>
      <c r="C12" s="282"/>
      <c r="D12" s="407"/>
      <c r="E12" s="407"/>
      <c r="F12" s="407"/>
      <c r="G12" s="407"/>
      <c r="H12" s="407"/>
      <c r="I12" s="407"/>
      <c r="J12" s="407"/>
      <c r="K12" s="407"/>
      <c r="L12" s="407"/>
      <c r="M12" s="407"/>
      <c r="N12" s="407"/>
      <c r="O12" s="407"/>
      <c r="P12" s="407"/>
      <c r="Q12" s="408"/>
      <c r="R12" s="281"/>
      <c r="S12" s="282"/>
      <c r="T12" s="282"/>
      <c r="U12" s="407"/>
      <c r="V12" s="407"/>
      <c r="W12" s="407"/>
      <c r="X12" s="407"/>
      <c r="Y12" s="407"/>
      <c r="Z12" s="407"/>
      <c r="AA12" s="407"/>
      <c r="AB12" s="407"/>
      <c r="AC12" s="407"/>
      <c r="AD12" s="407"/>
      <c r="AE12" s="407"/>
      <c r="AF12" s="407"/>
      <c r="AG12" s="407"/>
      <c r="AH12" s="407"/>
      <c r="AI12" s="407"/>
      <c r="AJ12" s="407"/>
      <c r="AK12" s="407"/>
      <c r="AL12" s="407"/>
      <c r="AM12" s="407"/>
      <c r="AN12" s="408"/>
    </row>
    <row r="13" spans="1:40" ht="3" customHeight="1">
      <c r="A13" s="281"/>
      <c r="B13" s="282"/>
      <c r="C13" s="282"/>
      <c r="D13" s="407"/>
      <c r="E13" s="407"/>
      <c r="F13" s="407"/>
      <c r="G13" s="407"/>
      <c r="H13" s="407"/>
      <c r="I13" s="407"/>
      <c r="J13" s="407"/>
      <c r="K13" s="407"/>
      <c r="L13" s="407"/>
      <c r="M13" s="407"/>
      <c r="N13" s="407"/>
      <c r="O13" s="407"/>
      <c r="P13" s="407"/>
      <c r="Q13" s="408"/>
      <c r="R13" s="281"/>
      <c r="S13" s="282"/>
      <c r="T13" s="282"/>
      <c r="U13" s="407"/>
      <c r="V13" s="407"/>
      <c r="W13" s="407"/>
      <c r="X13" s="407"/>
      <c r="Y13" s="407"/>
      <c r="Z13" s="407"/>
      <c r="AA13" s="407"/>
      <c r="AB13" s="407"/>
      <c r="AC13" s="407"/>
      <c r="AD13" s="407"/>
      <c r="AE13" s="407"/>
      <c r="AF13" s="407"/>
      <c r="AG13" s="407"/>
      <c r="AH13" s="407"/>
      <c r="AI13" s="407"/>
      <c r="AJ13" s="407"/>
      <c r="AK13" s="407"/>
      <c r="AL13" s="407"/>
      <c r="AM13" s="407"/>
      <c r="AN13" s="408"/>
    </row>
    <row r="14" spans="1:40" ht="15.75" customHeight="1">
      <c r="A14" s="281"/>
      <c r="B14" s="425"/>
      <c r="C14" s="282"/>
      <c r="D14" s="1146" t="str">
        <f>Cover!AB27</f>
        <v>10 Process flow chart</v>
      </c>
      <c r="E14" s="1146"/>
      <c r="F14" s="1146"/>
      <c r="G14" s="1146"/>
      <c r="H14" s="1146"/>
      <c r="I14" s="1146"/>
      <c r="J14" s="1146"/>
      <c r="K14" s="1146"/>
      <c r="L14" s="1146"/>
      <c r="M14" s="1146"/>
      <c r="N14" s="1146"/>
      <c r="O14" s="1146"/>
      <c r="P14" s="1146"/>
      <c r="Q14" s="1147"/>
      <c r="R14" s="281"/>
      <c r="S14" s="425"/>
      <c r="T14" s="282"/>
      <c r="U14" s="1146" t="str">
        <f>Cover!BU27</f>
        <v>18 Written self-assessment</v>
      </c>
      <c r="V14" s="1146"/>
      <c r="W14" s="1146"/>
      <c r="X14" s="1146"/>
      <c r="Y14" s="1146"/>
      <c r="Z14" s="1146"/>
      <c r="AA14" s="1146"/>
      <c r="AB14" s="1146"/>
      <c r="AC14" s="1146"/>
      <c r="AD14" s="1146"/>
      <c r="AE14" s="1146"/>
      <c r="AF14" s="1146"/>
      <c r="AG14" s="1146"/>
      <c r="AH14" s="1146"/>
      <c r="AI14" s="1146"/>
      <c r="AJ14" s="1146"/>
      <c r="AK14" s="1146"/>
      <c r="AL14" s="1146"/>
      <c r="AM14" s="1146"/>
      <c r="AN14" s="1147"/>
    </row>
    <row r="15" spans="1:40" ht="3" customHeight="1">
      <c r="A15" s="281"/>
      <c r="B15" s="282"/>
      <c r="C15" s="282"/>
      <c r="D15" s="407"/>
      <c r="E15" s="407"/>
      <c r="F15" s="407"/>
      <c r="G15" s="407"/>
      <c r="H15" s="407"/>
      <c r="I15" s="407"/>
      <c r="J15" s="407"/>
      <c r="K15" s="407"/>
      <c r="L15" s="407"/>
      <c r="M15" s="407"/>
      <c r="N15" s="407"/>
      <c r="O15" s="407"/>
      <c r="P15" s="407"/>
      <c r="Q15" s="408"/>
      <c r="R15" s="281"/>
      <c r="S15" s="282" t="s">
        <v>653</v>
      </c>
      <c r="T15" s="282"/>
      <c r="U15" s="407"/>
      <c r="V15" s="407"/>
      <c r="W15" s="407"/>
      <c r="X15" s="407"/>
      <c r="Y15" s="407"/>
      <c r="Z15" s="407"/>
      <c r="AA15" s="407"/>
      <c r="AB15" s="407"/>
      <c r="AC15" s="407"/>
      <c r="AD15" s="407"/>
      <c r="AE15" s="407"/>
      <c r="AF15" s="407"/>
      <c r="AG15" s="407"/>
      <c r="AH15" s="407"/>
      <c r="AI15" s="407"/>
      <c r="AJ15" s="407"/>
      <c r="AK15" s="407"/>
      <c r="AL15" s="407"/>
      <c r="AM15" s="407"/>
      <c r="AN15" s="408"/>
    </row>
    <row r="16" spans="1:40" ht="3" customHeight="1">
      <c r="A16" s="281"/>
      <c r="B16" s="282"/>
      <c r="C16" s="282"/>
      <c r="D16" s="407"/>
      <c r="E16" s="407"/>
      <c r="F16" s="407"/>
      <c r="G16" s="407"/>
      <c r="H16" s="407"/>
      <c r="I16" s="407"/>
      <c r="J16" s="407"/>
      <c r="K16" s="407"/>
      <c r="L16" s="407"/>
      <c r="M16" s="407"/>
      <c r="N16" s="407"/>
      <c r="O16" s="407"/>
      <c r="P16" s="407"/>
      <c r="Q16" s="408"/>
      <c r="R16" s="281"/>
      <c r="S16" s="282"/>
      <c r="T16" s="282"/>
      <c r="U16" s="407"/>
      <c r="V16" s="407"/>
      <c r="W16" s="407"/>
      <c r="X16" s="407"/>
      <c r="Y16" s="407"/>
      <c r="Z16" s="407"/>
      <c r="AA16" s="407"/>
      <c r="AB16" s="407"/>
      <c r="AC16" s="407"/>
      <c r="AD16" s="407"/>
      <c r="AE16" s="407"/>
      <c r="AF16" s="407"/>
      <c r="AG16" s="407"/>
      <c r="AH16" s="407"/>
      <c r="AI16" s="407"/>
      <c r="AJ16" s="407"/>
      <c r="AK16" s="407"/>
      <c r="AL16" s="407"/>
      <c r="AM16" s="407"/>
      <c r="AN16" s="408"/>
    </row>
    <row r="17" spans="1:40" ht="15.75" customHeight="1">
      <c r="A17" s="281"/>
      <c r="B17" s="425"/>
      <c r="C17" s="282"/>
      <c r="D17" s="1146" t="str">
        <f>Cover!AB29</f>
        <v>11 Control plan</v>
      </c>
      <c r="E17" s="1146"/>
      <c r="F17" s="1146"/>
      <c r="G17" s="1146"/>
      <c r="H17" s="1146"/>
      <c r="I17" s="1146"/>
      <c r="J17" s="1146"/>
      <c r="K17" s="1146"/>
      <c r="L17" s="1146"/>
      <c r="M17" s="1146"/>
      <c r="N17" s="1146"/>
      <c r="O17" s="1146"/>
      <c r="P17" s="1146"/>
      <c r="Q17" s="1147"/>
      <c r="R17" s="281"/>
      <c r="S17" s="425"/>
      <c r="T17" s="282"/>
      <c r="U17" s="1146" t="str">
        <f>Cover!BU29</f>
        <v>19 Part history</v>
      </c>
      <c r="V17" s="1146"/>
      <c r="W17" s="1146"/>
      <c r="X17" s="1146"/>
      <c r="Y17" s="1146"/>
      <c r="Z17" s="1146"/>
      <c r="AA17" s="1146"/>
      <c r="AB17" s="1146"/>
      <c r="AC17" s="1146"/>
      <c r="AD17" s="1146"/>
      <c r="AE17" s="1146"/>
      <c r="AF17" s="1146"/>
      <c r="AG17" s="1146"/>
      <c r="AH17" s="1146"/>
      <c r="AI17" s="1146"/>
      <c r="AJ17" s="1146"/>
      <c r="AK17" s="1146"/>
      <c r="AL17" s="1146"/>
      <c r="AM17" s="1146"/>
      <c r="AN17" s="1147"/>
    </row>
    <row r="18" spans="1:40" ht="3" customHeight="1">
      <c r="A18" s="281"/>
      <c r="B18" s="282"/>
      <c r="C18" s="282"/>
      <c r="D18" s="407"/>
      <c r="E18" s="407"/>
      <c r="F18" s="407"/>
      <c r="G18" s="407"/>
      <c r="H18" s="407"/>
      <c r="I18" s="407"/>
      <c r="J18" s="407"/>
      <c r="K18" s="407"/>
      <c r="L18" s="407"/>
      <c r="M18" s="407"/>
      <c r="N18" s="407"/>
      <c r="O18" s="407"/>
      <c r="P18" s="407"/>
      <c r="Q18" s="408"/>
      <c r="R18" s="281"/>
      <c r="S18" s="282"/>
      <c r="T18" s="282"/>
      <c r="U18" s="407"/>
      <c r="V18" s="407"/>
      <c r="W18" s="407"/>
      <c r="X18" s="407"/>
      <c r="Y18" s="407"/>
      <c r="Z18" s="407"/>
      <c r="AA18" s="407"/>
      <c r="AB18" s="407"/>
      <c r="AC18" s="407"/>
      <c r="AD18" s="407"/>
      <c r="AE18" s="407"/>
      <c r="AF18" s="407"/>
      <c r="AG18" s="407"/>
      <c r="AH18" s="407"/>
      <c r="AI18" s="407"/>
      <c r="AJ18" s="407"/>
      <c r="AK18" s="407"/>
      <c r="AL18" s="407"/>
      <c r="AM18" s="407"/>
      <c r="AN18" s="408"/>
    </row>
    <row r="19" spans="1:40" ht="3" customHeight="1">
      <c r="A19" s="281"/>
      <c r="B19" s="282"/>
      <c r="C19" s="282"/>
      <c r="D19" s="407"/>
      <c r="E19" s="407"/>
      <c r="F19" s="407"/>
      <c r="G19" s="407"/>
      <c r="H19" s="407"/>
      <c r="I19" s="407"/>
      <c r="J19" s="407"/>
      <c r="K19" s="407"/>
      <c r="L19" s="407"/>
      <c r="M19" s="407"/>
      <c r="N19" s="407"/>
      <c r="O19" s="407"/>
      <c r="P19" s="407"/>
      <c r="Q19" s="408"/>
      <c r="R19" s="281"/>
      <c r="S19" s="282"/>
      <c r="T19" s="282"/>
      <c r="U19" s="407"/>
      <c r="V19" s="407"/>
      <c r="W19" s="407"/>
      <c r="X19" s="407"/>
      <c r="Y19" s="407"/>
      <c r="Z19" s="407"/>
      <c r="AA19" s="407"/>
      <c r="AB19" s="407"/>
      <c r="AC19" s="407"/>
      <c r="AD19" s="407"/>
      <c r="AE19" s="407"/>
      <c r="AF19" s="407"/>
      <c r="AG19" s="407"/>
      <c r="AH19" s="407"/>
      <c r="AI19" s="407"/>
      <c r="AJ19" s="407"/>
      <c r="AK19" s="407"/>
      <c r="AL19" s="407"/>
      <c r="AM19" s="407"/>
      <c r="AN19" s="408"/>
    </row>
    <row r="20" spans="1:40" ht="15.75" customHeight="1">
      <c r="A20" s="281"/>
      <c r="B20" s="425"/>
      <c r="C20" s="282"/>
      <c r="D20" s="1146" t="str">
        <f>Cover!AB31</f>
        <v>12 Confirmation of process capability</v>
      </c>
      <c r="E20" s="1146"/>
      <c r="F20" s="1146"/>
      <c r="G20" s="1146"/>
      <c r="H20" s="1146"/>
      <c r="I20" s="1146"/>
      <c r="J20" s="1146"/>
      <c r="K20" s="1146"/>
      <c r="L20" s="1146"/>
      <c r="M20" s="1146"/>
      <c r="N20" s="1146"/>
      <c r="O20" s="1146"/>
      <c r="P20" s="1146"/>
      <c r="Q20" s="1147"/>
      <c r="R20" s="281"/>
      <c r="S20" s="425"/>
      <c r="T20" s="282"/>
      <c r="U20" s="1146" t="str">
        <f>Cover!BU31</f>
        <v>20 Confirmation of suitability of transport equipment</v>
      </c>
      <c r="V20" s="1146"/>
      <c r="W20" s="1146"/>
      <c r="X20" s="1146"/>
      <c r="Y20" s="1146"/>
      <c r="Z20" s="1146"/>
      <c r="AA20" s="1146"/>
      <c r="AB20" s="1146"/>
      <c r="AC20" s="1146"/>
      <c r="AD20" s="1146"/>
      <c r="AE20" s="1146"/>
      <c r="AF20" s="1146"/>
      <c r="AG20" s="1146"/>
      <c r="AH20" s="1146"/>
      <c r="AI20" s="1146"/>
      <c r="AJ20" s="1146"/>
      <c r="AK20" s="1146"/>
      <c r="AL20" s="1146"/>
      <c r="AM20" s="1146"/>
      <c r="AN20" s="1147"/>
    </row>
    <row r="21" spans="1:40" ht="3" customHeight="1">
      <c r="A21" s="281"/>
      <c r="B21" s="282"/>
      <c r="C21" s="282"/>
      <c r="D21" s="407"/>
      <c r="E21" s="407"/>
      <c r="F21" s="407"/>
      <c r="G21" s="407"/>
      <c r="H21" s="407"/>
      <c r="I21" s="407"/>
      <c r="J21" s="407"/>
      <c r="K21" s="407"/>
      <c r="L21" s="407"/>
      <c r="M21" s="407"/>
      <c r="N21" s="407"/>
      <c r="O21" s="407"/>
      <c r="P21" s="407"/>
      <c r="Q21" s="408"/>
      <c r="R21" s="281"/>
      <c r="S21" s="282"/>
      <c r="T21" s="282"/>
      <c r="U21" s="407"/>
      <c r="V21" s="407"/>
      <c r="W21" s="407"/>
      <c r="X21" s="407"/>
      <c r="Y21" s="407"/>
      <c r="Z21" s="407"/>
      <c r="AA21" s="407"/>
      <c r="AB21" s="407"/>
      <c r="AC21" s="407"/>
      <c r="AD21" s="407"/>
      <c r="AE21" s="407"/>
      <c r="AF21" s="407"/>
      <c r="AG21" s="407"/>
      <c r="AH21" s="407"/>
      <c r="AI21" s="407"/>
      <c r="AJ21" s="407"/>
      <c r="AK21" s="407"/>
      <c r="AL21" s="407"/>
      <c r="AM21" s="407"/>
      <c r="AN21" s="408"/>
    </row>
    <row r="22" spans="1:40" ht="3" customHeight="1">
      <c r="A22" s="281"/>
      <c r="B22" s="282"/>
      <c r="C22" s="282"/>
      <c r="D22" s="407"/>
      <c r="E22" s="407"/>
      <c r="F22" s="407"/>
      <c r="G22" s="407"/>
      <c r="H22" s="407"/>
      <c r="I22" s="407"/>
      <c r="J22" s="407"/>
      <c r="K22" s="407"/>
      <c r="L22" s="407"/>
      <c r="M22" s="407"/>
      <c r="N22" s="407"/>
      <c r="O22" s="407"/>
      <c r="P22" s="407"/>
      <c r="Q22" s="408"/>
      <c r="R22" s="281"/>
      <c r="S22" s="282"/>
      <c r="T22" s="282"/>
      <c r="U22" s="407"/>
      <c r="V22" s="407"/>
      <c r="W22" s="407"/>
      <c r="X22" s="407"/>
      <c r="Y22" s="407"/>
      <c r="Z22" s="407"/>
      <c r="AA22" s="407"/>
      <c r="AB22" s="407"/>
      <c r="AC22" s="407"/>
      <c r="AD22" s="407"/>
      <c r="AE22" s="407"/>
      <c r="AF22" s="407"/>
      <c r="AG22" s="407"/>
      <c r="AH22" s="407"/>
      <c r="AI22" s="407"/>
      <c r="AJ22" s="407"/>
      <c r="AK22" s="407"/>
      <c r="AL22" s="407"/>
      <c r="AM22" s="407"/>
      <c r="AN22" s="408"/>
    </row>
    <row r="23" spans="1:40" ht="15.75" customHeight="1">
      <c r="A23" s="281"/>
      <c r="B23" s="425"/>
      <c r="C23" s="282"/>
      <c r="D23" s="1146" t="str">
        <f>Cover!AB33</f>
        <v>13 Achievement of special characteristics</v>
      </c>
      <c r="E23" s="1146"/>
      <c r="F23" s="1146"/>
      <c r="G23" s="1146"/>
      <c r="H23" s="1146"/>
      <c r="I23" s="1146"/>
      <c r="J23" s="1146"/>
      <c r="K23" s="1146"/>
      <c r="L23" s="1146"/>
      <c r="M23" s="1146"/>
      <c r="N23" s="1146"/>
      <c r="O23" s="1146"/>
      <c r="P23" s="1146"/>
      <c r="Q23" s="1147"/>
      <c r="R23" s="281"/>
      <c r="S23" s="425"/>
      <c r="T23" s="282"/>
      <c r="U23" s="1146" t="str">
        <f>Cover!BU33</f>
        <v>21 PPA-Status of the supply chain</v>
      </c>
      <c r="V23" s="1146"/>
      <c r="W23" s="1146"/>
      <c r="X23" s="1146"/>
      <c r="Y23" s="1146"/>
      <c r="Z23" s="1146"/>
      <c r="AA23" s="1146"/>
      <c r="AB23" s="1146"/>
      <c r="AC23" s="1146"/>
      <c r="AD23" s="1146"/>
      <c r="AE23" s="1146"/>
      <c r="AF23" s="1146"/>
      <c r="AG23" s="1146"/>
      <c r="AH23" s="1146"/>
      <c r="AI23" s="1146"/>
      <c r="AJ23" s="1146"/>
      <c r="AK23" s="1146"/>
      <c r="AL23" s="1146"/>
      <c r="AM23" s="1146"/>
      <c r="AN23" s="1147"/>
    </row>
    <row r="24" spans="1:40" ht="3" customHeight="1">
      <c r="A24" s="281"/>
      <c r="B24" s="282"/>
      <c r="C24" s="282"/>
      <c r="D24" s="407"/>
      <c r="E24" s="407"/>
      <c r="F24" s="407"/>
      <c r="G24" s="407"/>
      <c r="H24" s="407"/>
      <c r="I24" s="407"/>
      <c r="J24" s="407"/>
      <c r="K24" s="407"/>
      <c r="L24" s="407"/>
      <c r="M24" s="407"/>
      <c r="N24" s="407"/>
      <c r="O24" s="407"/>
      <c r="P24" s="407"/>
      <c r="Q24" s="408"/>
      <c r="R24" s="281"/>
      <c r="S24" s="282"/>
      <c r="T24" s="282"/>
      <c r="U24" s="407"/>
      <c r="V24" s="407"/>
      <c r="W24" s="407"/>
      <c r="X24" s="407"/>
      <c r="Y24" s="407"/>
      <c r="Z24" s="407"/>
      <c r="AA24" s="407"/>
      <c r="AB24" s="407"/>
      <c r="AC24" s="407"/>
      <c r="AD24" s="407"/>
      <c r="AE24" s="407"/>
      <c r="AF24" s="407"/>
      <c r="AG24" s="407"/>
      <c r="AH24" s="407"/>
      <c r="AI24" s="407"/>
      <c r="AJ24" s="407"/>
      <c r="AK24" s="407"/>
      <c r="AL24" s="407"/>
      <c r="AM24" s="407"/>
      <c r="AN24" s="408"/>
    </row>
    <row r="25" spans="1:40" ht="3" customHeight="1">
      <c r="A25" s="281"/>
      <c r="B25" s="282"/>
      <c r="C25" s="282"/>
      <c r="D25" s="407"/>
      <c r="E25" s="407"/>
      <c r="F25" s="407"/>
      <c r="G25" s="407"/>
      <c r="H25" s="407"/>
      <c r="I25" s="407"/>
      <c r="J25" s="407"/>
      <c r="K25" s="407"/>
      <c r="L25" s="407"/>
      <c r="M25" s="407"/>
      <c r="N25" s="407"/>
      <c r="O25" s="407"/>
      <c r="P25" s="407"/>
      <c r="Q25" s="408"/>
      <c r="R25" s="281"/>
      <c r="S25" s="282"/>
      <c r="T25" s="282"/>
      <c r="U25" s="407"/>
      <c r="V25" s="407"/>
      <c r="W25" s="407"/>
      <c r="X25" s="407"/>
      <c r="Y25" s="407"/>
      <c r="Z25" s="407"/>
      <c r="AA25" s="407"/>
      <c r="AB25" s="407"/>
      <c r="AC25" s="407"/>
      <c r="AD25" s="407"/>
      <c r="AE25" s="407"/>
      <c r="AF25" s="407"/>
      <c r="AG25" s="407"/>
      <c r="AH25" s="407"/>
      <c r="AI25" s="407"/>
      <c r="AJ25" s="407"/>
      <c r="AK25" s="407"/>
      <c r="AL25" s="407"/>
      <c r="AM25" s="407"/>
      <c r="AN25" s="408"/>
    </row>
    <row r="26" spans="1:40" ht="15.75" customHeight="1">
      <c r="A26" s="281"/>
      <c r="B26" s="425"/>
      <c r="C26" s="282"/>
      <c r="D26" s="1146" t="str">
        <f>Cover!AB35</f>
        <v>14 Test / Inspection equipment list</v>
      </c>
      <c r="E26" s="1146"/>
      <c r="F26" s="1146"/>
      <c r="G26" s="1146"/>
      <c r="H26" s="1146"/>
      <c r="I26" s="1146"/>
      <c r="J26" s="1146"/>
      <c r="K26" s="1146"/>
      <c r="L26" s="1146"/>
      <c r="M26" s="1146"/>
      <c r="N26" s="1146"/>
      <c r="O26" s="1146"/>
      <c r="P26" s="1146"/>
      <c r="Q26" s="1147"/>
      <c r="R26" s="281"/>
      <c r="S26" s="425"/>
      <c r="T26" s="282"/>
      <c r="U26" s="1146" t="str">
        <f>Cover!BU35</f>
        <v xml:space="preserve">22 Approval of coating systems </v>
      </c>
      <c r="V26" s="1146"/>
      <c r="W26" s="1146"/>
      <c r="X26" s="1146"/>
      <c r="Y26" s="1146"/>
      <c r="Z26" s="1146"/>
      <c r="AA26" s="1146"/>
      <c r="AB26" s="1146"/>
      <c r="AC26" s="1146"/>
      <c r="AD26" s="1146"/>
      <c r="AE26" s="1146"/>
      <c r="AF26" s="1146"/>
      <c r="AG26" s="1146"/>
      <c r="AH26" s="1146"/>
      <c r="AI26" s="1146"/>
      <c r="AJ26" s="1146"/>
      <c r="AK26" s="1146"/>
      <c r="AL26" s="1146"/>
      <c r="AM26" s="1146"/>
      <c r="AN26" s="1147"/>
    </row>
    <row r="27" spans="1:40" ht="3" customHeight="1">
      <c r="A27" s="281"/>
      <c r="B27" s="282"/>
      <c r="C27" s="282"/>
      <c r="D27" s="407"/>
      <c r="E27" s="407"/>
      <c r="F27" s="407"/>
      <c r="G27" s="407"/>
      <c r="H27" s="407"/>
      <c r="I27" s="407"/>
      <c r="J27" s="407"/>
      <c r="K27" s="407"/>
      <c r="L27" s="407"/>
      <c r="M27" s="407"/>
      <c r="N27" s="407"/>
      <c r="O27" s="407"/>
      <c r="P27" s="407"/>
      <c r="Q27" s="408"/>
      <c r="R27" s="281"/>
      <c r="S27" s="282"/>
      <c r="T27" s="282"/>
      <c r="U27" s="407"/>
      <c r="V27" s="407"/>
      <c r="W27" s="407"/>
      <c r="X27" s="407"/>
      <c r="Y27" s="407"/>
      <c r="Z27" s="407"/>
      <c r="AA27" s="407"/>
      <c r="AB27" s="407"/>
      <c r="AC27" s="407"/>
      <c r="AD27" s="407"/>
      <c r="AE27" s="407"/>
      <c r="AF27" s="407"/>
      <c r="AG27" s="407"/>
      <c r="AH27" s="407"/>
      <c r="AI27" s="407"/>
      <c r="AJ27" s="407"/>
      <c r="AK27" s="407"/>
      <c r="AL27" s="407"/>
      <c r="AM27" s="407"/>
      <c r="AN27" s="408"/>
    </row>
    <row r="28" spans="1:40" ht="3" customHeight="1">
      <c r="A28" s="281"/>
      <c r="B28" s="282"/>
      <c r="C28" s="282"/>
      <c r="D28" s="407"/>
      <c r="E28" s="407"/>
      <c r="F28" s="407"/>
      <c r="G28" s="407"/>
      <c r="H28" s="407"/>
      <c r="I28" s="407"/>
      <c r="J28" s="407"/>
      <c r="K28" s="407"/>
      <c r="L28" s="407"/>
      <c r="M28" s="407"/>
      <c r="N28" s="407"/>
      <c r="O28" s="407"/>
      <c r="P28" s="407"/>
      <c r="Q28" s="408"/>
      <c r="R28" s="281"/>
      <c r="S28" s="282"/>
      <c r="T28" s="282"/>
      <c r="U28" s="407"/>
      <c r="V28" s="407"/>
      <c r="W28" s="407"/>
      <c r="X28" s="407"/>
      <c r="Y28" s="407"/>
      <c r="Z28" s="407"/>
      <c r="AA28" s="407"/>
      <c r="AB28" s="407"/>
      <c r="AC28" s="407"/>
      <c r="AD28" s="407"/>
      <c r="AE28" s="407"/>
      <c r="AF28" s="407"/>
      <c r="AG28" s="407"/>
      <c r="AH28" s="407"/>
      <c r="AI28" s="407"/>
      <c r="AJ28" s="407"/>
      <c r="AK28" s="407"/>
      <c r="AL28" s="407"/>
      <c r="AM28" s="407"/>
      <c r="AN28" s="408"/>
    </row>
    <row r="29" spans="1:40" ht="15.75" customHeight="1">
      <c r="A29" s="281"/>
      <c r="B29" s="425"/>
      <c r="C29" s="282"/>
      <c r="D29" s="1146" t="str">
        <f>Cover!AB37</f>
        <v>15 Capability study testing equipment</v>
      </c>
      <c r="E29" s="1146"/>
      <c r="F29" s="1146"/>
      <c r="G29" s="1146"/>
      <c r="H29" s="1146"/>
      <c r="I29" s="1146"/>
      <c r="J29" s="1146"/>
      <c r="K29" s="1146"/>
      <c r="L29" s="1146"/>
      <c r="M29" s="1146"/>
      <c r="N29" s="1146"/>
      <c r="O29" s="1146"/>
      <c r="P29" s="1146"/>
      <c r="Q29" s="1147"/>
      <c r="R29" s="281"/>
      <c r="S29" s="425"/>
      <c r="T29" s="282"/>
      <c r="U29" s="407">
        <v>23</v>
      </c>
      <c r="V29" s="1146" t="str">
        <f>Cover!BX37</f>
        <v>Other</v>
      </c>
      <c r="W29" s="1146"/>
      <c r="X29" s="1146"/>
      <c r="Y29" s="1146"/>
      <c r="Z29" s="1146"/>
      <c r="AA29" s="1146"/>
      <c r="AB29" s="1146"/>
      <c r="AC29" s="1146"/>
      <c r="AD29" s="1146"/>
      <c r="AE29" s="1146"/>
      <c r="AF29" s="1146"/>
      <c r="AG29" s="1146"/>
      <c r="AH29" s="1146"/>
      <c r="AI29" s="1146"/>
      <c r="AJ29" s="1146"/>
      <c r="AK29" s="1146"/>
      <c r="AL29" s="1146"/>
      <c r="AM29" s="1146"/>
      <c r="AN29" s="1147"/>
    </row>
    <row r="30" spans="1:40" ht="3" customHeight="1" thickBot="1">
      <c r="A30" s="374"/>
      <c r="B30" s="375"/>
      <c r="C30" s="375"/>
      <c r="D30" s="376"/>
      <c r="E30" s="376"/>
      <c r="F30" s="376"/>
      <c r="G30" s="376"/>
      <c r="H30" s="376"/>
      <c r="I30" s="376"/>
      <c r="J30" s="376"/>
      <c r="K30" s="376"/>
      <c r="L30" s="376"/>
      <c r="M30" s="376"/>
      <c r="N30" s="376"/>
      <c r="O30" s="376"/>
      <c r="P30" s="376"/>
      <c r="Q30" s="377"/>
      <c r="R30" s="375"/>
      <c r="S30" s="375"/>
      <c r="T30" s="375"/>
      <c r="U30" s="378"/>
      <c r="V30" s="376"/>
      <c r="W30" s="376"/>
      <c r="X30" s="376"/>
      <c r="Y30" s="376"/>
      <c r="Z30" s="376"/>
      <c r="AA30" s="376"/>
      <c r="AB30" s="376"/>
      <c r="AC30" s="376"/>
      <c r="AD30" s="376"/>
      <c r="AE30" s="376"/>
      <c r="AF30" s="376"/>
      <c r="AG30" s="376"/>
      <c r="AH30" s="376"/>
      <c r="AI30" s="376"/>
      <c r="AJ30" s="376"/>
      <c r="AK30" s="376"/>
      <c r="AL30" s="376"/>
      <c r="AM30" s="376"/>
      <c r="AN30" s="377"/>
    </row>
    <row r="31" spans="1:40" ht="3" customHeight="1" thickBot="1">
      <c r="A31" s="386"/>
      <c r="B31" s="25"/>
      <c r="C31" s="25"/>
      <c r="D31" s="25"/>
      <c r="E31" s="25"/>
      <c r="F31" s="25"/>
      <c r="G31" s="25"/>
      <c r="H31" s="25"/>
      <c r="I31" s="25"/>
      <c r="J31" s="25"/>
      <c r="K31" s="25"/>
      <c r="L31" s="25"/>
      <c r="M31" s="25"/>
      <c r="N31" s="25"/>
      <c r="O31" s="25"/>
      <c r="P31" s="25"/>
      <c r="Q31" s="25"/>
      <c r="R31" s="25"/>
      <c r="S31" s="25"/>
      <c r="T31" s="25"/>
      <c r="U31" s="25"/>
      <c r="V31" s="25"/>
      <c r="W31" s="25"/>
      <c r="X31" s="25"/>
      <c r="Y31" s="25"/>
      <c r="Z31" s="25"/>
      <c r="AA31" s="25"/>
      <c r="AB31" s="25"/>
      <c r="AC31" s="25"/>
      <c r="AD31" s="25"/>
      <c r="AE31" s="25"/>
      <c r="AF31" s="25"/>
      <c r="AG31" s="25"/>
      <c r="AH31" s="25"/>
      <c r="AI31" s="25"/>
      <c r="AJ31" s="25"/>
      <c r="AK31" s="25"/>
      <c r="AL31" s="25"/>
      <c r="AM31" s="25"/>
      <c r="AN31" s="387"/>
    </row>
    <row r="32" spans="1:40" ht="16.5" customHeight="1">
      <c r="A32" s="919" t="str">
        <f>Content!A4</f>
        <v>Supplier/Production plant:</v>
      </c>
      <c r="B32" s="920"/>
      <c r="C32" s="920"/>
      <c r="D32" s="920"/>
      <c r="E32" s="920"/>
      <c r="F32" s="920"/>
      <c r="G32" s="920"/>
      <c r="H32" s="920"/>
      <c r="I32" s="920"/>
      <c r="J32" s="920"/>
      <c r="K32" s="923">
        <f>Cover!H41</f>
        <v>0</v>
      </c>
      <c r="L32" s="923"/>
      <c r="M32" s="923"/>
      <c r="N32" s="923"/>
      <c r="O32" s="923"/>
      <c r="P32" s="923"/>
      <c r="Q32" s="924"/>
      <c r="R32" s="919" t="str">
        <f>Content!Q4</f>
        <v>Customer:</v>
      </c>
      <c r="S32" s="920"/>
      <c r="T32" s="920"/>
      <c r="U32" s="920"/>
      <c r="V32" s="920"/>
      <c r="W32" s="920"/>
      <c r="X32" s="920"/>
      <c r="Y32" s="923">
        <f>Cover!CP41</f>
        <v>0</v>
      </c>
      <c r="Z32" s="923"/>
      <c r="AA32" s="923"/>
      <c r="AB32" s="923"/>
      <c r="AC32" s="923"/>
      <c r="AD32" s="923"/>
      <c r="AE32" s="923"/>
      <c r="AF32" s="923"/>
      <c r="AG32" s="923"/>
      <c r="AH32" s="923"/>
      <c r="AI32" s="923"/>
      <c r="AJ32" s="923"/>
      <c r="AK32" s="923"/>
      <c r="AL32" s="923"/>
      <c r="AM32" s="923"/>
      <c r="AN32" s="924"/>
    </row>
    <row r="33" spans="1:41" ht="16.5" customHeight="1">
      <c r="A33" s="1176" t="str">
        <f>Content!A5</f>
        <v>ID number / DUNS:</v>
      </c>
      <c r="B33" s="1177"/>
      <c r="C33" s="1177"/>
      <c r="D33" s="1177"/>
      <c r="E33" s="1177"/>
      <c r="F33" s="1177"/>
      <c r="G33" s="1177"/>
      <c r="H33" s="1177"/>
      <c r="I33" s="925">
        <f>Cover!AM41</f>
        <v>0</v>
      </c>
      <c r="J33" s="925"/>
      <c r="K33" s="925"/>
      <c r="L33" s="925"/>
      <c r="M33" s="925"/>
      <c r="N33" s="925"/>
      <c r="O33" s="925"/>
      <c r="P33" s="925"/>
      <c r="Q33" s="926"/>
      <c r="R33" s="1176" t="str">
        <f>Content!Q5</f>
        <v>ID number:</v>
      </c>
      <c r="S33" s="1177"/>
      <c r="T33" s="1177"/>
      <c r="U33" s="1177"/>
      <c r="V33" s="1177"/>
      <c r="W33" s="1177"/>
      <c r="X33" s="1177"/>
      <c r="Y33" s="925"/>
      <c r="Z33" s="925"/>
      <c r="AA33" s="925"/>
      <c r="AB33" s="925"/>
      <c r="AC33" s="925"/>
      <c r="AD33" s="925"/>
      <c r="AE33" s="925"/>
      <c r="AF33" s="925"/>
      <c r="AG33" s="925"/>
      <c r="AH33" s="925"/>
      <c r="AI33" s="925"/>
      <c r="AJ33" s="925"/>
      <c r="AK33" s="925"/>
      <c r="AL33" s="925"/>
      <c r="AM33" s="925"/>
      <c r="AN33" s="926"/>
    </row>
    <row r="34" spans="1:41" ht="16.5" customHeight="1">
      <c r="A34" s="1176" t="str">
        <f>Content!A6</f>
        <v>Report No.:</v>
      </c>
      <c r="B34" s="1177"/>
      <c r="C34" s="1177"/>
      <c r="D34" s="1177"/>
      <c r="E34" s="1177"/>
      <c r="F34" s="1177"/>
      <c r="G34" s="925">
        <f>Cover!CP42</f>
        <v>0</v>
      </c>
      <c r="H34" s="925"/>
      <c r="I34" s="925"/>
      <c r="J34" s="925"/>
      <c r="K34" s="925"/>
      <c r="L34" s="1122" t="s">
        <v>69</v>
      </c>
      <c r="M34" s="1122"/>
      <c r="N34" s="927"/>
      <c r="O34" s="927"/>
      <c r="P34" s="927"/>
      <c r="Q34" s="928"/>
      <c r="R34" s="1176" t="str">
        <f>Content!Q6</f>
        <v>Report No.:</v>
      </c>
      <c r="S34" s="1177"/>
      <c r="T34" s="1177"/>
      <c r="U34" s="1177"/>
      <c r="V34" s="1177"/>
      <c r="W34" s="1177"/>
      <c r="X34" s="1177"/>
      <c r="Y34" s="925"/>
      <c r="Z34" s="925"/>
      <c r="AA34" s="925"/>
      <c r="AB34" s="925"/>
      <c r="AC34" s="925"/>
      <c r="AD34" s="925"/>
      <c r="AE34" s="925"/>
      <c r="AF34" s="925"/>
      <c r="AG34" s="925"/>
      <c r="AH34" s="1122" t="s">
        <v>69</v>
      </c>
      <c r="AI34" s="1122"/>
      <c r="AJ34" s="1122"/>
      <c r="AK34" s="927"/>
      <c r="AL34" s="927"/>
      <c r="AM34" s="927"/>
      <c r="AN34" s="928"/>
    </row>
    <row r="35" spans="1:41" ht="16.5" customHeight="1">
      <c r="A35" s="1009" t="str">
        <f>Content!A7</f>
        <v>Part description:</v>
      </c>
      <c r="B35" s="1010"/>
      <c r="C35" s="1010"/>
      <c r="D35" s="1010"/>
      <c r="E35" s="1010"/>
      <c r="F35" s="1010"/>
      <c r="G35" s="938">
        <f>Cover!G42</f>
        <v>0</v>
      </c>
      <c r="H35" s="938"/>
      <c r="I35" s="938"/>
      <c r="J35" s="938"/>
      <c r="K35" s="938"/>
      <c r="L35" s="938"/>
      <c r="M35" s="938"/>
      <c r="N35" s="938"/>
      <c r="O35" s="938"/>
      <c r="P35" s="938"/>
      <c r="Q35" s="939"/>
      <c r="R35" s="1009" t="str">
        <f>Content!A7</f>
        <v>Part description:</v>
      </c>
      <c r="S35" s="1010"/>
      <c r="T35" s="1010"/>
      <c r="U35" s="1010"/>
      <c r="V35" s="1010"/>
      <c r="W35" s="1010"/>
      <c r="X35" s="1010"/>
      <c r="Y35" s="938"/>
      <c r="Z35" s="938"/>
      <c r="AA35" s="938"/>
      <c r="AB35" s="938"/>
      <c r="AC35" s="938"/>
      <c r="AD35" s="938"/>
      <c r="AE35" s="938"/>
      <c r="AF35" s="938"/>
      <c r="AG35" s="938"/>
      <c r="AH35" s="938"/>
      <c r="AI35" s="938"/>
      <c r="AJ35" s="938"/>
      <c r="AK35" s="938"/>
      <c r="AL35" s="938"/>
      <c r="AM35" s="938"/>
      <c r="AN35" s="939"/>
    </row>
    <row r="36" spans="1:41" ht="16.5" customHeight="1">
      <c r="A36" s="1012" t="str">
        <f>Cover!B43</f>
        <v>Part number:</v>
      </c>
      <c r="B36" s="1013"/>
      <c r="C36" s="1013"/>
      <c r="D36" s="1013"/>
      <c r="E36" s="1013"/>
      <c r="F36" s="1013"/>
      <c r="G36" s="1119">
        <f>Cover!G43</f>
        <v>0</v>
      </c>
      <c r="H36" s="1119"/>
      <c r="I36" s="1119"/>
      <c r="J36" s="1119"/>
      <c r="K36" s="1119"/>
      <c r="L36" s="1119"/>
      <c r="M36" s="1119"/>
      <c r="N36" s="1119"/>
      <c r="O36" s="1119"/>
      <c r="P36" s="1119"/>
      <c r="Q36" s="1120"/>
      <c r="R36" s="1012" t="str">
        <f>A36</f>
        <v>Part number:</v>
      </c>
      <c r="S36" s="1013"/>
      <c r="T36" s="1013"/>
      <c r="U36" s="1013"/>
      <c r="V36" s="1013"/>
      <c r="W36" s="1013"/>
      <c r="X36" s="1013"/>
      <c r="Y36" s="1119"/>
      <c r="Z36" s="1119"/>
      <c r="AA36" s="1119"/>
      <c r="AB36" s="1119"/>
      <c r="AC36" s="1119"/>
      <c r="AD36" s="1119"/>
      <c r="AE36" s="1119"/>
      <c r="AF36" s="1119"/>
      <c r="AG36" s="1119"/>
      <c r="AH36" s="1119"/>
      <c r="AI36" s="1119"/>
      <c r="AJ36" s="1119"/>
      <c r="AK36" s="1119"/>
      <c r="AL36" s="1119"/>
      <c r="AM36" s="1119"/>
      <c r="AN36" s="1120"/>
    </row>
    <row r="37" spans="1:41" ht="16.5" customHeight="1">
      <c r="A37" s="1012" t="str">
        <f>Content!Q7</f>
        <v>Drawing number:</v>
      </c>
      <c r="B37" s="1013"/>
      <c r="C37" s="1013"/>
      <c r="D37" s="1013"/>
      <c r="E37" s="1013"/>
      <c r="F37" s="1013"/>
      <c r="G37" s="1013"/>
      <c r="H37" s="1119">
        <f>Cover!G44</f>
        <v>0</v>
      </c>
      <c r="I37" s="1119"/>
      <c r="J37" s="1119"/>
      <c r="K37" s="1119"/>
      <c r="L37" s="1119"/>
      <c r="M37" s="1119"/>
      <c r="N37" s="1119"/>
      <c r="O37" s="1119"/>
      <c r="P37" s="1119"/>
      <c r="Q37" s="1120"/>
      <c r="R37" s="1012" t="str">
        <f>Content!Q7</f>
        <v>Drawing number:</v>
      </c>
      <c r="S37" s="1013"/>
      <c r="T37" s="1013"/>
      <c r="U37" s="1013"/>
      <c r="V37" s="1013"/>
      <c r="W37" s="1013"/>
      <c r="X37" s="1013"/>
      <c r="Y37" s="1013"/>
      <c r="Z37" s="1013"/>
      <c r="AA37" s="1119"/>
      <c r="AB37" s="1119"/>
      <c r="AC37" s="1119"/>
      <c r="AD37" s="1119"/>
      <c r="AE37" s="1119"/>
      <c r="AF37" s="1119"/>
      <c r="AG37" s="1119"/>
      <c r="AH37" s="1119"/>
      <c r="AI37" s="1119"/>
      <c r="AJ37" s="1119"/>
      <c r="AK37" s="1119"/>
      <c r="AL37" s="1119"/>
      <c r="AM37" s="1119"/>
      <c r="AN37" s="1120"/>
    </row>
    <row r="38" spans="1:41" ht="16.5" customHeight="1" thickBot="1">
      <c r="A38" s="1175" t="str">
        <f>Content!Q8</f>
        <v>Issue / Date:</v>
      </c>
      <c r="B38" s="900"/>
      <c r="C38" s="900"/>
      <c r="D38" s="900"/>
      <c r="E38" s="900"/>
      <c r="F38" s="900"/>
      <c r="G38" s="940">
        <f>Cover!G45</f>
        <v>0</v>
      </c>
      <c r="H38" s="940"/>
      <c r="I38" s="940"/>
      <c r="J38" s="940"/>
      <c r="K38" s="940"/>
      <c r="L38" s="940"/>
      <c r="M38" s="940"/>
      <c r="N38" s="940"/>
      <c r="O38" s="940"/>
      <c r="P38" s="940"/>
      <c r="Q38" s="941"/>
      <c r="R38" s="1175" t="str">
        <f>Content!Q8</f>
        <v>Issue / Date:</v>
      </c>
      <c r="S38" s="900"/>
      <c r="T38" s="900"/>
      <c r="U38" s="900"/>
      <c r="V38" s="900"/>
      <c r="W38" s="900"/>
      <c r="X38" s="900"/>
      <c r="Y38" s="940"/>
      <c r="Z38" s="940"/>
      <c r="AA38" s="940"/>
      <c r="AB38" s="940"/>
      <c r="AC38" s="940"/>
      <c r="AD38" s="940"/>
      <c r="AE38" s="940"/>
      <c r="AF38" s="940"/>
      <c r="AG38" s="940"/>
      <c r="AH38" s="940"/>
      <c r="AI38" s="940"/>
      <c r="AJ38" s="940"/>
      <c r="AK38" s="940"/>
      <c r="AL38" s="940"/>
      <c r="AM38" s="940"/>
      <c r="AN38" s="941"/>
    </row>
    <row r="39" spans="1:41" ht="3" customHeight="1" thickBot="1">
      <c r="A39" s="7"/>
      <c r="B39" s="6"/>
      <c r="C39" s="6"/>
      <c r="D39" s="6"/>
      <c r="E39" s="6"/>
      <c r="F39" s="6"/>
      <c r="G39" s="6"/>
      <c r="H39" s="6"/>
      <c r="I39" s="6"/>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c r="AL39" s="6"/>
      <c r="AM39" s="6"/>
      <c r="AN39" s="1"/>
    </row>
    <row r="40" spans="1:41" ht="18.75" customHeight="1">
      <c r="A40" s="1602" t="str">
        <f>VLOOKUP("partnumber",Translations!$A:$T,MATCH(Cover!DR19,Translations!A2:P2,0),0)</f>
        <v>Part number</v>
      </c>
      <c r="B40" s="1603"/>
      <c r="C40" s="1603"/>
      <c r="D40" s="1603"/>
      <c r="E40" s="1603"/>
      <c r="F40" s="1604"/>
      <c r="G40" s="1595" t="str">
        <f>VLOOKUP("Änderungsstand",Translations!$A:$T,MATCH(Cover!DR19,Translations!A2:P2,0),0)</f>
        <v>Change level</v>
      </c>
      <c r="H40" s="1596"/>
      <c r="I40" s="1595" t="str">
        <f>VLOOKUP("Werkzeugnummer",Translations!$A:$T,MATCH(Cover!DR19,Translations!A2:P2,0),0)</f>
        <v>Tool number</v>
      </c>
      <c r="J40" s="1589"/>
      <c r="K40" s="1589"/>
      <c r="L40" s="1589"/>
      <c r="M40" s="1589"/>
      <c r="N40" s="1589"/>
      <c r="O40" s="1596"/>
      <c r="P40" s="1605" t="str">
        <f>VLOOKUP("werkzeugstandort",Translations!$A:$T,MATCH(Cover!DR19,Translations!A2:P2,0),0)</f>
        <v>Tool location</v>
      </c>
      <c r="Q40" s="1603"/>
      <c r="R40" s="1603"/>
      <c r="S40" s="1603"/>
      <c r="T40" s="1603"/>
      <c r="U40" s="1603"/>
      <c r="V40" s="1604"/>
      <c r="W40" s="1595" t="str">
        <f>VLOOKUP("Anzahl",Translations!$A:$T,MATCH(Cover!DR19,Translations!A2:P2,0),0)</f>
        <v>Quantity tools</v>
      </c>
      <c r="X40" s="1589"/>
      <c r="Y40" s="1596"/>
      <c r="Z40" s="1595" t="str">
        <f>VLOOKUP("Anzahl2",Translations!$A:$T,MATCH(Cover!DR19,Translations!A2:P2,0),0)</f>
        <v>Quantity nests/tool</v>
      </c>
      <c r="AA40" s="1589"/>
      <c r="AB40" s="1596"/>
      <c r="AC40" s="1595" t="str">
        <f>VLOOKUP("Freigabe Status",Translations!$A:$T,MATCH(Cover!DR19,Translations!A2:P2,0),0)</f>
        <v>Approval status</v>
      </c>
      <c r="AD40" s="1596"/>
      <c r="AE40" s="1595" t="str">
        <f>VLOOKUP("Werkzeug Abmessungen",Translations!$A:$T,MATCH(Cover!DR19,Translations!A2:P2,0),0)</f>
        <v>Tool Size</v>
      </c>
      <c r="AF40" s="1589"/>
      <c r="AG40" s="1589"/>
      <c r="AH40" s="1589"/>
      <c r="AI40" s="1589"/>
      <c r="AJ40" s="1596"/>
      <c r="AK40" s="1589" t="str">
        <f>VLOOKUP("Gewicht",Translations!$A:$T,MATCH(Cover!DR19,Translations!A2:P2,0),0)</f>
        <v>Tool Weight</v>
      </c>
      <c r="AL40" s="1589"/>
      <c r="AM40" s="1589"/>
      <c r="AN40" s="1590"/>
      <c r="AO40"/>
    </row>
    <row r="41" spans="1:41" ht="12" customHeight="1">
      <c r="A41" s="333"/>
      <c r="B41" s="373"/>
      <c r="C41" s="373"/>
      <c r="D41" s="373"/>
      <c r="E41" s="373"/>
      <c r="F41" s="382"/>
      <c r="G41" s="1597"/>
      <c r="H41" s="1598"/>
      <c r="I41" s="1597"/>
      <c r="J41" s="1591"/>
      <c r="K41" s="1591"/>
      <c r="L41" s="1591"/>
      <c r="M41" s="1591"/>
      <c r="N41" s="1591"/>
      <c r="O41" s="1598"/>
      <c r="P41" s="383"/>
      <c r="Q41" s="373"/>
      <c r="R41" s="373"/>
      <c r="S41" s="373"/>
      <c r="T41" s="373"/>
      <c r="U41" s="373"/>
      <c r="V41" s="382"/>
      <c r="W41" s="1597"/>
      <c r="X41" s="1591"/>
      <c r="Y41" s="1598"/>
      <c r="Z41" s="1597"/>
      <c r="AA41" s="1591"/>
      <c r="AB41" s="1598"/>
      <c r="AC41" s="1597"/>
      <c r="AD41" s="1598"/>
      <c r="AE41" s="1597"/>
      <c r="AF41" s="1591"/>
      <c r="AG41" s="1591"/>
      <c r="AH41" s="1591"/>
      <c r="AI41" s="1591"/>
      <c r="AJ41" s="1598"/>
      <c r="AK41" s="1591"/>
      <c r="AL41" s="1591"/>
      <c r="AM41" s="1591"/>
      <c r="AN41" s="1592"/>
      <c r="AO41"/>
    </row>
    <row r="42" spans="1:41" ht="18.75" customHeight="1">
      <c r="A42" s="333"/>
      <c r="B42" s="373"/>
      <c r="C42" s="373"/>
      <c r="D42" s="373"/>
      <c r="E42" s="373"/>
      <c r="F42" s="382"/>
      <c r="G42" s="1597"/>
      <c r="H42" s="1598"/>
      <c r="I42" s="383"/>
      <c r="J42" s="373"/>
      <c r="K42" s="373"/>
      <c r="L42" s="373"/>
      <c r="M42" s="373"/>
      <c r="N42" s="373"/>
      <c r="O42" s="382"/>
      <c r="P42" s="383"/>
      <c r="Q42" s="373"/>
      <c r="R42" s="373"/>
      <c r="S42" s="373"/>
      <c r="T42" s="373"/>
      <c r="U42" s="373"/>
      <c r="V42" s="382"/>
      <c r="W42" s="1597"/>
      <c r="X42" s="1591"/>
      <c r="Y42" s="1598"/>
      <c r="Z42" s="1597"/>
      <c r="AA42" s="1591"/>
      <c r="AB42" s="1598"/>
      <c r="AC42" s="1597"/>
      <c r="AD42" s="1598"/>
      <c r="AE42" s="1599" t="str">
        <f>VLOOKUP("Maße",Translations!$A:$T,MATCH(Cover!DR19,Translations!A2:P2,0),0)</f>
        <v>(Height*Length*Width)</v>
      </c>
      <c r="AF42" s="1600"/>
      <c r="AG42" s="1600"/>
      <c r="AH42" s="1600"/>
      <c r="AI42" s="1600"/>
      <c r="AJ42" s="1601"/>
      <c r="AK42" s="1591"/>
      <c r="AL42" s="1591"/>
      <c r="AM42" s="1591"/>
      <c r="AN42" s="1592"/>
      <c r="AO42"/>
    </row>
    <row r="43" spans="1:41" ht="12.75" customHeight="1">
      <c r="A43" s="391"/>
      <c r="B43" s="381"/>
      <c r="C43" s="381"/>
      <c r="D43" s="381"/>
      <c r="E43" s="381"/>
      <c r="F43" s="385"/>
      <c r="G43" s="384"/>
      <c r="H43" s="385"/>
      <c r="I43" s="384"/>
      <c r="J43" s="381"/>
      <c r="K43" s="381"/>
      <c r="L43" s="381"/>
      <c r="M43" s="381"/>
      <c r="N43" s="381"/>
      <c r="O43" s="385"/>
      <c r="P43" s="384"/>
      <c r="Q43" s="381"/>
      <c r="R43" s="381"/>
      <c r="S43" s="381"/>
      <c r="T43" s="381"/>
      <c r="U43" s="381"/>
      <c r="V43" s="385"/>
      <c r="W43" s="384"/>
      <c r="X43" s="381"/>
      <c r="Y43" s="385"/>
      <c r="Z43" s="1606"/>
      <c r="AA43" s="1593"/>
      <c r="AB43" s="1607"/>
      <c r="AC43" s="1606"/>
      <c r="AD43" s="1607"/>
      <c r="AE43" s="389"/>
      <c r="AF43" s="388"/>
      <c r="AG43" s="388"/>
      <c r="AH43" s="388"/>
      <c r="AI43" s="388"/>
      <c r="AJ43" s="390"/>
      <c r="AK43" s="1593"/>
      <c r="AL43" s="1593"/>
      <c r="AM43" s="1593"/>
      <c r="AN43" s="1594"/>
      <c r="AO43"/>
    </row>
    <row r="44" spans="1:41" ht="45" customHeight="1">
      <c r="A44" s="1579"/>
      <c r="B44" s="1580"/>
      <c r="C44" s="1580"/>
      <c r="D44" s="1580"/>
      <c r="E44" s="1580"/>
      <c r="F44" s="1581"/>
      <c r="G44" s="1582"/>
      <c r="H44" s="1581"/>
      <c r="I44" s="1582"/>
      <c r="J44" s="1580"/>
      <c r="K44" s="1580"/>
      <c r="L44" s="1580"/>
      <c r="M44" s="1580"/>
      <c r="N44" s="1580"/>
      <c r="O44" s="1581"/>
      <c r="P44" s="1582"/>
      <c r="Q44" s="1580"/>
      <c r="R44" s="1580"/>
      <c r="S44" s="1580"/>
      <c r="T44" s="1580"/>
      <c r="U44" s="1580"/>
      <c r="V44" s="1581"/>
      <c r="W44" s="1582"/>
      <c r="X44" s="1580"/>
      <c r="Y44" s="1581"/>
      <c r="Z44" s="1582"/>
      <c r="AA44" s="1580"/>
      <c r="AB44" s="1581"/>
      <c r="AC44" s="1582"/>
      <c r="AD44" s="1581"/>
      <c r="AE44" s="1582"/>
      <c r="AF44" s="1580"/>
      <c r="AG44" s="1580"/>
      <c r="AH44" s="1580"/>
      <c r="AI44" s="1580"/>
      <c r="AJ44" s="1581"/>
      <c r="AK44" s="1582"/>
      <c r="AL44" s="1580"/>
      <c r="AM44" s="1580"/>
      <c r="AN44" s="1583"/>
      <c r="AO44"/>
    </row>
    <row r="45" spans="1:41" ht="45" customHeight="1">
      <c r="A45" s="1579"/>
      <c r="B45" s="1580"/>
      <c r="C45" s="1580"/>
      <c r="D45" s="1580"/>
      <c r="E45" s="1580"/>
      <c r="F45" s="1581"/>
      <c r="G45" s="1582"/>
      <c r="H45" s="1581"/>
      <c r="I45" s="1582"/>
      <c r="J45" s="1580"/>
      <c r="K45" s="1580"/>
      <c r="L45" s="1580"/>
      <c r="M45" s="1580"/>
      <c r="N45" s="1580"/>
      <c r="O45" s="1581"/>
      <c r="P45" s="1582"/>
      <c r="Q45" s="1580"/>
      <c r="R45" s="1580"/>
      <c r="S45" s="1580"/>
      <c r="T45" s="1580"/>
      <c r="U45" s="1580"/>
      <c r="V45" s="1581"/>
      <c r="W45" s="1582"/>
      <c r="X45" s="1580"/>
      <c r="Y45" s="1581"/>
      <c r="Z45" s="1582"/>
      <c r="AA45" s="1580"/>
      <c r="AB45" s="1581"/>
      <c r="AC45" s="1582"/>
      <c r="AD45" s="1581"/>
      <c r="AE45" s="1582"/>
      <c r="AF45" s="1580"/>
      <c r="AG45" s="1580"/>
      <c r="AH45" s="1580"/>
      <c r="AI45" s="1580"/>
      <c r="AJ45" s="1581"/>
      <c r="AK45" s="1582"/>
      <c r="AL45" s="1580"/>
      <c r="AM45" s="1580"/>
      <c r="AN45" s="1583"/>
      <c r="AO45"/>
    </row>
    <row r="46" spans="1:41" ht="45" customHeight="1">
      <c r="A46" s="1579"/>
      <c r="B46" s="1580"/>
      <c r="C46" s="1580"/>
      <c r="D46" s="1580"/>
      <c r="E46" s="1580"/>
      <c r="F46" s="1581"/>
      <c r="G46" s="1582"/>
      <c r="H46" s="1581"/>
      <c r="I46" s="1582"/>
      <c r="J46" s="1580"/>
      <c r="K46" s="1580"/>
      <c r="L46" s="1580"/>
      <c r="M46" s="1580"/>
      <c r="N46" s="1580"/>
      <c r="O46" s="1581"/>
      <c r="P46" s="1582"/>
      <c r="Q46" s="1580"/>
      <c r="R46" s="1580"/>
      <c r="S46" s="1580"/>
      <c r="T46" s="1580"/>
      <c r="U46" s="1580"/>
      <c r="V46" s="1581"/>
      <c r="W46" s="1582"/>
      <c r="X46" s="1580"/>
      <c r="Y46" s="1581"/>
      <c r="Z46" s="1582"/>
      <c r="AA46" s="1580"/>
      <c r="AB46" s="1581"/>
      <c r="AC46" s="1582"/>
      <c r="AD46" s="1581"/>
      <c r="AE46" s="1582"/>
      <c r="AF46" s="1580"/>
      <c r="AG46" s="1580"/>
      <c r="AH46" s="1580"/>
      <c r="AI46" s="1580"/>
      <c r="AJ46" s="1581"/>
      <c r="AK46" s="1582"/>
      <c r="AL46" s="1580"/>
      <c r="AM46" s="1580"/>
      <c r="AN46" s="1583"/>
      <c r="AO46"/>
    </row>
    <row r="47" spans="1:41" ht="45" customHeight="1">
      <c r="A47" s="1579"/>
      <c r="B47" s="1580"/>
      <c r="C47" s="1580"/>
      <c r="D47" s="1580"/>
      <c r="E47" s="1580"/>
      <c r="F47" s="1581"/>
      <c r="G47" s="1582"/>
      <c r="H47" s="1581"/>
      <c r="I47" s="1582"/>
      <c r="J47" s="1580"/>
      <c r="K47" s="1580"/>
      <c r="L47" s="1580"/>
      <c r="M47" s="1580"/>
      <c r="N47" s="1580"/>
      <c r="O47" s="1581"/>
      <c r="P47" s="1582"/>
      <c r="Q47" s="1580"/>
      <c r="R47" s="1580"/>
      <c r="S47" s="1580"/>
      <c r="T47" s="1580"/>
      <c r="U47" s="1580"/>
      <c r="V47" s="1581"/>
      <c r="W47" s="1582"/>
      <c r="X47" s="1580"/>
      <c r="Y47" s="1581"/>
      <c r="Z47" s="1582"/>
      <c r="AA47" s="1580"/>
      <c r="AB47" s="1581"/>
      <c r="AC47" s="1582"/>
      <c r="AD47" s="1581"/>
      <c r="AE47" s="1582"/>
      <c r="AF47" s="1580"/>
      <c r="AG47" s="1580"/>
      <c r="AH47" s="1580"/>
      <c r="AI47" s="1580"/>
      <c r="AJ47" s="1581"/>
      <c r="AK47" s="1582"/>
      <c r="AL47" s="1580"/>
      <c r="AM47" s="1580"/>
      <c r="AN47" s="1583"/>
      <c r="AO47"/>
    </row>
    <row r="48" spans="1:41" ht="45" customHeight="1">
      <c r="A48" s="1579"/>
      <c r="B48" s="1580"/>
      <c r="C48" s="1580"/>
      <c r="D48" s="1580"/>
      <c r="E48" s="1580"/>
      <c r="F48" s="1581"/>
      <c r="G48" s="1582"/>
      <c r="H48" s="1581"/>
      <c r="I48" s="1582"/>
      <c r="J48" s="1580"/>
      <c r="K48" s="1580"/>
      <c r="L48" s="1580"/>
      <c r="M48" s="1580"/>
      <c r="N48" s="1580"/>
      <c r="O48" s="1581"/>
      <c r="P48" s="1582"/>
      <c r="Q48" s="1580"/>
      <c r="R48" s="1580"/>
      <c r="S48" s="1580"/>
      <c r="T48" s="1580"/>
      <c r="U48" s="1580"/>
      <c r="V48" s="1581"/>
      <c r="W48" s="1582"/>
      <c r="X48" s="1580"/>
      <c r="Y48" s="1581"/>
      <c r="Z48" s="1582"/>
      <c r="AA48" s="1580"/>
      <c r="AB48" s="1581"/>
      <c r="AC48" s="1582"/>
      <c r="AD48" s="1581"/>
      <c r="AE48" s="1582"/>
      <c r="AF48" s="1580"/>
      <c r="AG48" s="1580"/>
      <c r="AH48" s="1580"/>
      <c r="AI48" s="1580"/>
      <c r="AJ48" s="1581"/>
      <c r="AK48" s="1582"/>
      <c r="AL48" s="1580"/>
      <c r="AM48" s="1580"/>
      <c r="AN48" s="1583"/>
      <c r="AO48"/>
    </row>
    <row r="49" spans="1:41" ht="45" customHeight="1">
      <c r="A49" s="1579"/>
      <c r="B49" s="1580"/>
      <c r="C49" s="1580"/>
      <c r="D49" s="1580"/>
      <c r="E49" s="1580"/>
      <c r="F49" s="1581"/>
      <c r="G49" s="1582"/>
      <c r="H49" s="1581"/>
      <c r="I49" s="1582"/>
      <c r="J49" s="1580"/>
      <c r="K49" s="1580"/>
      <c r="L49" s="1580"/>
      <c r="M49" s="1580"/>
      <c r="N49" s="1580"/>
      <c r="O49" s="1581"/>
      <c r="P49" s="1582"/>
      <c r="Q49" s="1580"/>
      <c r="R49" s="1580"/>
      <c r="S49" s="1580"/>
      <c r="T49" s="1580"/>
      <c r="U49" s="1580"/>
      <c r="V49" s="1581"/>
      <c r="W49" s="1582"/>
      <c r="X49" s="1580"/>
      <c r="Y49" s="1581"/>
      <c r="Z49" s="1582"/>
      <c r="AA49" s="1580"/>
      <c r="AB49" s="1581"/>
      <c r="AC49" s="1582"/>
      <c r="AD49" s="1581"/>
      <c r="AE49" s="1582"/>
      <c r="AF49" s="1580"/>
      <c r="AG49" s="1580"/>
      <c r="AH49" s="1580"/>
      <c r="AI49" s="1580"/>
      <c r="AJ49" s="1581"/>
      <c r="AK49" s="1582"/>
      <c r="AL49" s="1580"/>
      <c r="AM49" s="1580"/>
      <c r="AN49" s="1583"/>
      <c r="AO49"/>
    </row>
    <row r="50" spans="1:41" ht="45" customHeight="1">
      <c r="A50" s="1579"/>
      <c r="B50" s="1580"/>
      <c r="C50" s="1580"/>
      <c r="D50" s="1580"/>
      <c r="E50" s="1580"/>
      <c r="F50" s="1581"/>
      <c r="G50" s="1582"/>
      <c r="H50" s="1581"/>
      <c r="I50" s="1582"/>
      <c r="J50" s="1580"/>
      <c r="K50" s="1580"/>
      <c r="L50" s="1580"/>
      <c r="M50" s="1580"/>
      <c r="N50" s="1580"/>
      <c r="O50" s="1581"/>
      <c r="P50" s="1582"/>
      <c r="Q50" s="1580"/>
      <c r="R50" s="1580"/>
      <c r="S50" s="1580"/>
      <c r="T50" s="1580"/>
      <c r="U50" s="1580"/>
      <c r="V50" s="1581"/>
      <c r="W50" s="1582"/>
      <c r="X50" s="1580"/>
      <c r="Y50" s="1581"/>
      <c r="Z50" s="1582"/>
      <c r="AA50" s="1580"/>
      <c r="AB50" s="1581"/>
      <c r="AC50" s="1582"/>
      <c r="AD50" s="1581"/>
      <c r="AE50" s="1582"/>
      <c r="AF50" s="1580"/>
      <c r="AG50" s="1580"/>
      <c r="AH50" s="1580"/>
      <c r="AI50" s="1580"/>
      <c r="AJ50" s="1581"/>
      <c r="AK50" s="1582"/>
      <c r="AL50" s="1580"/>
      <c r="AM50" s="1580"/>
      <c r="AN50" s="1583"/>
      <c r="AO50"/>
    </row>
    <row r="51" spans="1:41" ht="45" customHeight="1">
      <c r="A51" s="1579"/>
      <c r="B51" s="1580"/>
      <c r="C51" s="1580"/>
      <c r="D51" s="1580"/>
      <c r="E51" s="1580"/>
      <c r="F51" s="1581"/>
      <c r="G51" s="1582"/>
      <c r="H51" s="1581"/>
      <c r="I51" s="1582"/>
      <c r="J51" s="1580"/>
      <c r="K51" s="1580"/>
      <c r="L51" s="1580"/>
      <c r="M51" s="1580"/>
      <c r="N51" s="1580"/>
      <c r="O51" s="1581"/>
      <c r="P51" s="1582"/>
      <c r="Q51" s="1580"/>
      <c r="R51" s="1580"/>
      <c r="S51" s="1580"/>
      <c r="T51" s="1580"/>
      <c r="U51" s="1580"/>
      <c r="V51" s="1581"/>
      <c r="W51" s="1582"/>
      <c r="X51" s="1580"/>
      <c r="Y51" s="1581"/>
      <c r="Z51" s="1582"/>
      <c r="AA51" s="1580"/>
      <c r="AB51" s="1581"/>
      <c r="AC51" s="1582"/>
      <c r="AD51" s="1581"/>
      <c r="AE51" s="1582"/>
      <c r="AF51" s="1580"/>
      <c r="AG51" s="1580"/>
      <c r="AH51" s="1580"/>
      <c r="AI51" s="1580"/>
      <c r="AJ51" s="1581"/>
      <c r="AK51" s="1582"/>
      <c r="AL51" s="1580"/>
      <c r="AM51" s="1580"/>
      <c r="AN51" s="1583"/>
      <c r="AO51"/>
    </row>
    <row r="52" spans="1:41" ht="45" customHeight="1">
      <c r="A52" s="1579"/>
      <c r="B52" s="1580"/>
      <c r="C52" s="1580"/>
      <c r="D52" s="1580"/>
      <c r="E52" s="1580"/>
      <c r="F52" s="1581"/>
      <c r="G52" s="1582"/>
      <c r="H52" s="1581"/>
      <c r="I52" s="1582"/>
      <c r="J52" s="1580"/>
      <c r="K52" s="1580"/>
      <c r="L52" s="1580"/>
      <c r="M52" s="1580"/>
      <c r="N52" s="1580"/>
      <c r="O52" s="1581"/>
      <c r="P52" s="1582"/>
      <c r="Q52" s="1580"/>
      <c r="R52" s="1580"/>
      <c r="S52" s="1580"/>
      <c r="T52" s="1580"/>
      <c r="U52" s="1580"/>
      <c r="V52" s="1581"/>
      <c r="W52" s="1582"/>
      <c r="X52" s="1580"/>
      <c r="Y52" s="1581"/>
      <c r="Z52" s="1582"/>
      <c r="AA52" s="1580"/>
      <c r="AB52" s="1581"/>
      <c r="AC52" s="1582"/>
      <c r="AD52" s="1581"/>
      <c r="AE52" s="1582"/>
      <c r="AF52" s="1580"/>
      <c r="AG52" s="1580"/>
      <c r="AH52" s="1580"/>
      <c r="AI52" s="1580"/>
      <c r="AJ52" s="1581"/>
      <c r="AK52" s="1582"/>
      <c r="AL52" s="1580"/>
      <c r="AM52" s="1580"/>
      <c r="AN52" s="1583"/>
      <c r="AO52"/>
    </row>
    <row r="53" spans="1:41" ht="45" customHeight="1">
      <c r="A53" s="1579"/>
      <c r="B53" s="1580"/>
      <c r="C53" s="1580"/>
      <c r="D53" s="1580"/>
      <c r="E53" s="1580"/>
      <c r="F53" s="1581"/>
      <c r="G53" s="1582"/>
      <c r="H53" s="1581"/>
      <c r="I53" s="1582"/>
      <c r="J53" s="1580"/>
      <c r="K53" s="1580"/>
      <c r="L53" s="1580"/>
      <c r="M53" s="1580"/>
      <c r="N53" s="1580"/>
      <c r="O53" s="1581"/>
      <c r="P53" s="1582"/>
      <c r="Q53" s="1580"/>
      <c r="R53" s="1580"/>
      <c r="S53" s="1580"/>
      <c r="T53" s="1580"/>
      <c r="U53" s="1580"/>
      <c r="V53" s="1581"/>
      <c r="W53" s="1582"/>
      <c r="X53" s="1580"/>
      <c r="Y53" s="1581"/>
      <c r="Z53" s="1582"/>
      <c r="AA53" s="1580"/>
      <c r="AB53" s="1581"/>
      <c r="AC53" s="1582"/>
      <c r="AD53" s="1581"/>
      <c r="AE53" s="1582"/>
      <c r="AF53" s="1580"/>
      <c r="AG53" s="1580"/>
      <c r="AH53" s="1580"/>
      <c r="AI53" s="1580"/>
      <c r="AJ53" s="1581"/>
      <c r="AK53" s="1582"/>
      <c r="AL53" s="1580"/>
      <c r="AM53" s="1580"/>
      <c r="AN53" s="1583"/>
      <c r="AO53"/>
    </row>
    <row r="54" spans="1:41" ht="45" customHeight="1">
      <c r="A54" s="1579"/>
      <c r="B54" s="1580"/>
      <c r="C54" s="1580"/>
      <c r="D54" s="1580"/>
      <c r="E54" s="1580"/>
      <c r="F54" s="1581"/>
      <c r="G54" s="1582"/>
      <c r="H54" s="1581"/>
      <c r="I54" s="1582"/>
      <c r="J54" s="1580"/>
      <c r="K54" s="1580"/>
      <c r="L54" s="1580"/>
      <c r="M54" s="1580"/>
      <c r="N54" s="1580"/>
      <c r="O54" s="1581"/>
      <c r="P54" s="1582"/>
      <c r="Q54" s="1580"/>
      <c r="R54" s="1580"/>
      <c r="S54" s="1580"/>
      <c r="T54" s="1580"/>
      <c r="U54" s="1580"/>
      <c r="V54" s="1581"/>
      <c r="W54" s="1582"/>
      <c r="X54" s="1580"/>
      <c r="Y54" s="1581"/>
      <c r="Z54" s="1582"/>
      <c r="AA54" s="1580"/>
      <c r="AB54" s="1581"/>
      <c r="AC54" s="1582"/>
      <c r="AD54" s="1581"/>
      <c r="AE54" s="1582"/>
      <c r="AF54" s="1580"/>
      <c r="AG54" s="1580"/>
      <c r="AH54" s="1580"/>
      <c r="AI54" s="1580"/>
      <c r="AJ54" s="1581"/>
      <c r="AK54" s="1582"/>
      <c r="AL54" s="1580"/>
      <c r="AM54" s="1580"/>
      <c r="AN54" s="1583"/>
      <c r="AO54"/>
    </row>
    <row r="55" spans="1:41" ht="45" customHeight="1">
      <c r="A55" s="1579"/>
      <c r="B55" s="1580"/>
      <c r="C55" s="1580"/>
      <c r="D55" s="1580"/>
      <c r="E55" s="1580"/>
      <c r="F55" s="1581"/>
      <c r="G55" s="1582"/>
      <c r="H55" s="1581"/>
      <c r="I55" s="1582"/>
      <c r="J55" s="1580"/>
      <c r="K55" s="1580"/>
      <c r="L55" s="1580"/>
      <c r="M55" s="1580"/>
      <c r="N55" s="1580"/>
      <c r="O55" s="1581"/>
      <c r="P55" s="1582"/>
      <c r="Q55" s="1580"/>
      <c r="R55" s="1580"/>
      <c r="S55" s="1580"/>
      <c r="T55" s="1580"/>
      <c r="U55" s="1580"/>
      <c r="V55" s="1581"/>
      <c r="W55" s="1582"/>
      <c r="X55" s="1580"/>
      <c r="Y55" s="1581"/>
      <c r="Z55" s="1582"/>
      <c r="AA55" s="1580"/>
      <c r="AB55" s="1581"/>
      <c r="AC55" s="1582"/>
      <c r="AD55" s="1581"/>
      <c r="AE55" s="1582"/>
      <c r="AF55" s="1580"/>
      <c r="AG55" s="1580"/>
      <c r="AH55" s="1580"/>
      <c r="AI55" s="1580"/>
      <c r="AJ55" s="1581"/>
      <c r="AK55" s="1582"/>
      <c r="AL55" s="1580"/>
      <c r="AM55" s="1580"/>
      <c r="AN55" s="1583"/>
      <c r="AO55"/>
    </row>
    <row r="56" spans="1:41" ht="45" customHeight="1">
      <c r="A56" s="1579"/>
      <c r="B56" s="1580"/>
      <c r="C56" s="1580"/>
      <c r="D56" s="1580"/>
      <c r="E56" s="1580"/>
      <c r="F56" s="1581"/>
      <c r="G56" s="1582"/>
      <c r="H56" s="1581"/>
      <c r="I56" s="1582"/>
      <c r="J56" s="1580"/>
      <c r="K56" s="1580"/>
      <c r="L56" s="1580"/>
      <c r="M56" s="1580"/>
      <c r="N56" s="1580"/>
      <c r="O56" s="1581"/>
      <c r="P56" s="1582"/>
      <c r="Q56" s="1580"/>
      <c r="R56" s="1580"/>
      <c r="S56" s="1580"/>
      <c r="T56" s="1580"/>
      <c r="U56" s="1580"/>
      <c r="V56" s="1581"/>
      <c r="W56" s="1582"/>
      <c r="X56" s="1580"/>
      <c r="Y56" s="1581"/>
      <c r="Z56" s="1582"/>
      <c r="AA56" s="1580"/>
      <c r="AB56" s="1581"/>
      <c r="AC56" s="1582"/>
      <c r="AD56" s="1581"/>
      <c r="AE56" s="1582"/>
      <c r="AF56" s="1580"/>
      <c r="AG56" s="1580"/>
      <c r="AH56" s="1580"/>
      <c r="AI56" s="1580"/>
      <c r="AJ56" s="1581"/>
      <c r="AK56" s="1582"/>
      <c r="AL56" s="1580"/>
      <c r="AM56" s="1580"/>
      <c r="AN56" s="1583"/>
      <c r="AO56"/>
    </row>
    <row r="57" spans="1:41" ht="45" customHeight="1">
      <c r="A57" s="1579"/>
      <c r="B57" s="1580"/>
      <c r="C57" s="1580"/>
      <c r="D57" s="1580"/>
      <c r="E57" s="1580"/>
      <c r="F57" s="1581"/>
      <c r="G57" s="1582"/>
      <c r="H57" s="1581"/>
      <c r="I57" s="1582"/>
      <c r="J57" s="1580"/>
      <c r="K57" s="1580"/>
      <c r="L57" s="1580"/>
      <c r="M57" s="1580"/>
      <c r="N57" s="1580"/>
      <c r="O57" s="1581"/>
      <c r="P57" s="1582"/>
      <c r="Q57" s="1580"/>
      <c r="R57" s="1580"/>
      <c r="S57" s="1580"/>
      <c r="T57" s="1580"/>
      <c r="U57" s="1580"/>
      <c r="V57" s="1581"/>
      <c r="W57" s="1582"/>
      <c r="X57" s="1580"/>
      <c r="Y57" s="1581"/>
      <c r="Z57" s="1582"/>
      <c r="AA57" s="1580"/>
      <c r="AB57" s="1581"/>
      <c r="AC57" s="1582"/>
      <c r="AD57" s="1581"/>
      <c r="AE57" s="1582"/>
      <c r="AF57" s="1580"/>
      <c r="AG57" s="1580"/>
      <c r="AH57" s="1580"/>
      <c r="AI57" s="1580"/>
      <c r="AJ57" s="1581"/>
      <c r="AK57" s="1582"/>
      <c r="AL57" s="1580"/>
      <c r="AM57" s="1580"/>
      <c r="AN57" s="1583"/>
      <c r="AO57"/>
    </row>
    <row r="58" spans="1:41" ht="45" customHeight="1">
      <c r="A58" s="1579"/>
      <c r="B58" s="1580"/>
      <c r="C58" s="1580"/>
      <c r="D58" s="1580"/>
      <c r="E58" s="1580"/>
      <c r="F58" s="1581"/>
      <c r="G58" s="1582"/>
      <c r="H58" s="1581"/>
      <c r="I58" s="1582"/>
      <c r="J58" s="1580"/>
      <c r="K58" s="1580"/>
      <c r="L58" s="1580"/>
      <c r="M58" s="1580"/>
      <c r="N58" s="1580"/>
      <c r="O58" s="1581"/>
      <c r="P58" s="1582"/>
      <c r="Q58" s="1580"/>
      <c r="R58" s="1580"/>
      <c r="S58" s="1580"/>
      <c r="T58" s="1580"/>
      <c r="U58" s="1580"/>
      <c r="V58" s="1581"/>
      <c r="W58" s="1582"/>
      <c r="X58" s="1580"/>
      <c r="Y58" s="1581"/>
      <c r="Z58" s="1582"/>
      <c r="AA58" s="1580"/>
      <c r="AB58" s="1581"/>
      <c r="AC58" s="1582"/>
      <c r="AD58" s="1581"/>
      <c r="AE58" s="1582"/>
      <c r="AF58" s="1580"/>
      <c r="AG58" s="1580"/>
      <c r="AH58" s="1580"/>
      <c r="AI58" s="1580"/>
      <c r="AJ58" s="1581"/>
      <c r="AK58" s="1582"/>
      <c r="AL58" s="1580"/>
      <c r="AM58" s="1580"/>
      <c r="AN58" s="1583"/>
      <c r="AO58"/>
    </row>
    <row r="59" spans="1:41" ht="45" customHeight="1">
      <c r="A59" s="1579"/>
      <c r="B59" s="1580"/>
      <c r="C59" s="1580"/>
      <c r="D59" s="1580"/>
      <c r="E59" s="1580"/>
      <c r="F59" s="1581"/>
      <c r="G59" s="1582"/>
      <c r="H59" s="1581"/>
      <c r="I59" s="1582"/>
      <c r="J59" s="1580"/>
      <c r="K59" s="1580"/>
      <c r="L59" s="1580"/>
      <c r="M59" s="1580"/>
      <c r="N59" s="1580"/>
      <c r="O59" s="1581"/>
      <c r="P59" s="1582"/>
      <c r="Q59" s="1580"/>
      <c r="R59" s="1580"/>
      <c r="S59" s="1580"/>
      <c r="T59" s="1580"/>
      <c r="U59" s="1580"/>
      <c r="V59" s="1581"/>
      <c r="W59" s="1582"/>
      <c r="X59" s="1580"/>
      <c r="Y59" s="1581"/>
      <c r="Z59" s="1582"/>
      <c r="AA59" s="1580"/>
      <c r="AB59" s="1581"/>
      <c r="AC59" s="1582"/>
      <c r="AD59" s="1581"/>
      <c r="AE59" s="1582"/>
      <c r="AF59" s="1580"/>
      <c r="AG59" s="1580"/>
      <c r="AH59" s="1580"/>
      <c r="AI59" s="1580"/>
      <c r="AJ59" s="1581"/>
      <c r="AK59" s="1582"/>
      <c r="AL59" s="1580"/>
      <c r="AM59" s="1580"/>
      <c r="AN59" s="1583"/>
      <c r="AO59"/>
    </row>
    <row r="60" spans="1:41" ht="45" customHeight="1">
      <c r="A60" s="1579"/>
      <c r="B60" s="1580"/>
      <c r="C60" s="1580"/>
      <c r="D60" s="1580"/>
      <c r="E60" s="1580"/>
      <c r="F60" s="1581"/>
      <c r="G60" s="1582"/>
      <c r="H60" s="1581"/>
      <c r="I60" s="1582"/>
      <c r="J60" s="1580"/>
      <c r="K60" s="1580"/>
      <c r="L60" s="1580"/>
      <c r="M60" s="1580"/>
      <c r="N60" s="1580"/>
      <c r="O60" s="1581"/>
      <c r="P60" s="1582"/>
      <c r="Q60" s="1580"/>
      <c r="R60" s="1580"/>
      <c r="S60" s="1580"/>
      <c r="T60" s="1580"/>
      <c r="U60" s="1580"/>
      <c r="V60" s="1581"/>
      <c r="W60" s="1582"/>
      <c r="X60" s="1580"/>
      <c r="Y60" s="1581"/>
      <c r="Z60" s="1582"/>
      <c r="AA60" s="1580"/>
      <c r="AB60" s="1581"/>
      <c r="AC60" s="1582"/>
      <c r="AD60" s="1581"/>
      <c r="AE60" s="1582"/>
      <c r="AF60" s="1580"/>
      <c r="AG60" s="1580"/>
      <c r="AH60" s="1580"/>
      <c r="AI60" s="1580"/>
      <c r="AJ60" s="1581"/>
      <c r="AK60" s="1582"/>
      <c r="AL60" s="1580"/>
      <c r="AM60" s="1580"/>
      <c r="AN60" s="1583"/>
      <c r="AO60"/>
    </row>
    <row r="61" spans="1:41" ht="45" customHeight="1" thickBot="1">
      <c r="A61" s="1588"/>
      <c r="B61" s="1586"/>
      <c r="C61" s="1586"/>
      <c r="D61" s="1586"/>
      <c r="E61" s="1586"/>
      <c r="F61" s="1585"/>
      <c r="G61" s="1584"/>
      <c r="H61" s="1585"/>
      <c r="I61" s="1584"/>
      <c r="J61" s="1586"/>
      <c r="K61" s="1586"/>
      <c r="L61" s="1586"/>
      <c r="M61" s="1586"/>
      <c r="N61" s="1586"/>
      <c r="O61" s="1585"/>
      <c r="P61" s="1584"/>
      <c r="Q61" s="1586"/>
      <c r="R61" s="1586"/>
      <c r="S61" s="1586"/>
      <c r="T61" s="1586"/>
      <c r="U61" s="1586"/>
      <c r="V61" s="1585"/>
      <c r="W61" s="1584"/>
      <c r="X61" s="1586"/>
      <c r="Y61" s="1585"/>
      <c r="Z61" s="1584"/>
      <c r="AA61" s="1586"/>
      <c r="AB61" s="1585"/>
      <c r="AC61" s="1584"/>
      <c r="AD61" s="1585"/>
      <c r="AE61" s="1584"/>
      <c r="AF61" s="1586"/>
      <c r="AG61" s="1586"/>
      <c r="AH61" s="1586"/>
      <c r="AI61" s="1586"/>
      <c r="AJ61" s="1585"/>
      <c r="AK61" s="1584"/>
      <c r="AL61" s="1586"/>
      <c r="AM61" s="1586"/>
      <c r="AN61" s="1587"/>
      <c r="AO61"/>
    </row>
    <row r="62" spans="1:41" ht="17.25" customHeight="1">
      <c r="A62"/>
      <c r="B62"/>
      <c r="C62"/>
      <c r="D62"/>
      <c r="E62"/>
      <c r="F62"/>
      <c r="G62"/>
      <c r="H62"/>
      <c r="I62"/>
      <c r="J62"/>
      <c r="K62"/>
      <c r="L62"/>
      <c r="M62"/>
      <c r="N62"/>
      <c r="O62"/>
      <c r="P62"/>
      <c r="Q62"/>
      <c r="R62"/>
      <c r="S62"/>
      <c r="T62"/>
      <c r="U62"/>
      <c r="V62"/>
      <c r="W62"/>
      <c r="X62"/>
      <c r="Y62"/>
      <c r="Z62"/>
      <c r="AA62"/>
      <c r="AB62"/>
      <c r="AC62"/>
      <c r="AD62"/>
      <c r="AE62"/>
      <c r="AF62"/>
      <c r="AG62"/>
      <c r="AH62"/>
      <c r="AI62"/>
      <c r="AJ62"/>
      <c r="AK62"/>
      <c r="AL62"/>
      <c r="AM62"/>
      <c r="AN62"/>
      <c r="AO62"/>
    </row>
    <row r="63" spans="1:41" ht="18.600000000000001" customHeight="1">
      <c r="A63"/>
      <c r="B63"/>
      <c r="C63"/>
      <c r="D63"/>
      <c r="E63"/>
      <c r="F63"/>
      <c r="G63"/>
      <c r="H63"/>
      <c r="I63"/>
      <c r="J63"/>
      <c r="K63"/>
      <c r="L63"/>
      <c r="M63"/>
      <c r="N63"/>
      <c r="O63"/>
      <c r="P63"/>
      <c r="Q63"/>
      <c r="R63"/>
      <c r="S63"/>
      <c r="T63"/>
      <c r="U63"/>
      <c r="V63"/>
      <c r="W63"/>
      <c r="X63"/>
      <c r="Y63"/>
      <c r="Z63"/>
      <c r="AA63"/>
      <c r="AB63"/>
      <c r="AC63"/>
      <c r="AD63"/>
      <c r="AE63"/>
      <c r="AF63"/>
      <c r="AG63"/>
      <c r="AH63"/>
      <c r="AI63"/>
      <c r="AJ63"/>
      <c r="AK63"/>
      <c r="AL63"/>
      <c r="AM63"/>
      <c r="AN63"/>
      <c r="AO63"/>
    </row>
    <row r="64" spans="1:41" ht="3" customHeight="1">
      <c r="A64"/>
      <c r="B64"/>
      <c r="C64"/>
      <c r="D64"/>
      <c r="E64"/>
      <c r="F64"/>
      <c r="G64"/>
      <c r="H64"/>
      <c r="I64"/>
      <c r="J64"/>
      <c r="K64"/>
      <c r="L64"/>
      <c r="M64"/>
      <c r="N64"/>
      <c r="O64"/>
      <c r="P64"/>
      <c r="Q64"/>
      <c r="R64"/>
      <c r="S64"/>
      <c r="T64"/>
      <c r="U64"/>
      <c r="V64"/>
      <c r="W64"/>
      <c r="X64"/>
      <c r="Y64"/>
      <c r="Z64"/>
      <c r="AA64"/>
      <c r="AB64"/>
      <c r="AC64"/>
      <c r="AD64"/>
      <c r="AE64"/>
      <c r="AF64"/>
      <c r="AG64"/>
      <c r="AH64"/>
      <c r="AI64"/>
      <c r="AJ64"/>
      <c r="AK64"/>
      <c r="AL64"/>
      <c r="AM64"/>
      <c r="AN64"/>
      <c r="AO64"/>
    </row>
    <row r="65" spans="1:41" ht="16.5" customHeight="1">
      <c r="A65"/>
      <c r="B65"/>
      <c r="C65"/>
      <c r="D65"/>
      <c r="E65"/>
      <c r="F65"/>
      <c r="G65"/>
      <c r="H65"/>
      <c r="I65"/>
      <c r="J65"/>
      <c r="K65"/>
      <c r="L65"/>
      <c r="M65"/>
      <c r="N65"/>
      <c r="O65"/>
      <c r="P65"/>
      <c r="Q65"/>
      <c r="R65"/>
      <c r="S65"/>
      <c r="T65"/>
      <c r="U65"/>
      <c r="V65"/>
      <c r="W65"/>
      <c r="X65"/>
      <c r="Y65"/>
      <c r="Z65"/>
      <c r="AA65"/>
      <c r="AB65"/>
      <c r="AC65"/>
      <c r="AD65"/>
      <c r="AE65"/>
      <c r="AF65"/>
      <c r="AG65"/>
      <c r="AH65"/>
      <c r="AI65"/>
      <c r="AJ65"/>
      <c r="AK65"/>
      <c r="AL65"/>
      <c r="AM65"/>
      <c r="AN65"/>
      <c r="AO65"/>
    </row>
    <row r="66" spans="1:41">
      <c r="A66"/>
      <c r="B66"/>
      <c r="C66"/>
      <c r="D66"/>
      <c r="E66"/>
      <c r="F66"/>
      <c r="G66"/>
      <c r="H66"/>
      <c r="I66"/>
      <c r="J66"/>
      <c r="K66"/>
      <c r="L66"/>
      <c r="M66"/>
      <c r="N66"/>
      <c r="O66"/>
      <c r="P66"/>
      <c r="Q66"/>
      <c r="R66"/>
      <c r="S66"/>
      <c r="T66"/>
      <c r="U66"/>
      <c r="V66"/>
      <c r="W66"/>
      <c r="X66"/>
      <c r="Y66"/>
      <c r="Z66"/>
      <c r="AA66"/>
      <c r="AB66"/>
      <c r="AC66"/>
      <c r="AD66"/>
      <c r="AE66"/>
      <c r="AF66"/>
      <c r="AG66"/>
      <c r="AH66"/>
      <c r="AI66"/>
      <c r="AJ66"/>
      <c r="AK66"/>
      <c r="AL66"/>
      <c r="AM66"/>
      <c r="AN66"/>
      <c r="AO66"/>
    </row>
    <row r="67" spans="1:41" ht="12.75" customHeight="1">
      <c r="A67"/>
      <c r="B67"/>
      <c r="C67"/>
      <c r="D67"/>
      <c r="E67"/>
      <c r="F67"/>
      <c r="G67"/>
      <c r="H67"/>
      <c r="I67"/>
      <c r="J67"/>
      <c r="K67"/>
      <c r="L67"/>
      <c r="M67"/>
      <c r="N67"/>
      <c r="O67"/>
      <c r="P67"/>
      <c r="Q67"/>
      <c r="R67"/>
      <c r="S67"/>
      <c r="T67"/>
      <c r="U67"/>
      <c r="V67"/>
      <c r="W67"/>
      <c r="X67"/>
      <c r="Y67"/>
      <c r="Z67"/>
      <c r="AA67"/>
      <c r="AB67"/>
      <c r="AC67"/>
      <c r="AD67"/>
      <c r="AE67"/>
      <c r="AF67"/>
      <c r="AG67"/>
      <c r="AH67"/>
      <c r="AI67"/>
      <c r="AJ67"/>
      <c r="AK67"/>
      <c r="AL67"/>
      <c r="AM67"/>
      <c r="AN67"/>
      <c r="AO67"/>
    </row>
    <row r="68" spans="1:41" ht="3" customHeight="1">
      <c r="A68"/>
      <c r="B68"/>
      <c r="C68"/>
      <c r="D68"/>
      <c r="E68"/>
      <c r="F68"/>
      <c r="G68"/>
      <c r="H68"/>
      <c r="I68"/>
      <c r="J68"/>
      <c r="K68"/>
      <c r="L68"/>
      <c r="M68"/>
      <c r="N68"/>
      <c r="O68"/>
      <c r="P68"/>
      <c r="Q68"/>
      <c r="R68"/>
      <c r="S68"/>
      <c r="T68"/>
      <c r="U68"/>
      <c r="V68"/>
      <c r="W68"/>
      <c r="X68"/>
      <c r="Y68"/>
      <c r="Z68"/>
      <c r="AA68"/>
      <c r="AB68"/>
      <c r="AC68"/>
      <c r="AD68"/>
      <c r="AE68"/>
      <c r="AF68"/>
      <c r="AG68"/>
      <c r="AH68"/>
      <c r="AI68"/>
      <c r="AJ68"/>
      <c r="AK68"/>
      <c r="AL68"/>
      <c r="AM68"/>
      <c r="AN68"/>
      <c r="AO68"/>
    </row>
    <row r="69" spans="1:41" ht="12.75" customHeight="1">
      <c r="A69"/>
      <c r="B69"/>
      <c r="C69"/>
      <c r="D69"/>
      <c r="E69"/>
      <c r="F69"/>
      <c r="G69"/>
      <c r="H69"/>
      <c r="I69"/>
      <c r="J69"/>
      <c r="K69"/>
      <c r="L69"/>
      <c r="M69"/>
      <c r="N69"/>
      <c r="O69"/>
      <c r="P69"/>
      <c r="Q69"/>
      <c r="R69"/>
      <c r="S69"/>
      <c r="T69"/>
      <c r="U69"/>
      <c r="V69"/>
      <c r="W69"/>
      <c r="X69"/>
      <c r="Y69"/>
      <c r="Z69"/>
      <c r="AA69"/>
      <c r="AB69"/>
      <c r="AC69"/>
      <c r="AD69"/>
      <c r="AE69"/>
      <c r="AF69"/>
      <c r="AG69"/>
      <c r="AH69"/>
      <c r="AI69"/>
      <c r="AJ69"/>
      <c r="AK69"/>
      <c r="AL69"/>
      <c r="AM69"/>
      <c r="AN69"/>
      <c r="AO69"/>
    </row>
    <row r="70" spans="1:41" ht="4.5" customHeight="1">
      <c r="A70"/>
      <c r="B70"/>
      <c r="C70"/>
      <c r="D70"/>
      <c r="E70"/>
      <c r="F70"/>
      <c r="G70"/>
      <c r="H70"/>
      <c r="I70"/>
      <c r="J70"/>
      <c r="K70"/>
      <c r="L70"/>
      <c r="M70"/>
      <c r="N70"/>
      <c r="O70"/>
      <c r="P70"/>
      <c r="Q70"/>
      <c r="R70"/>
      <c r="S70"/>
      <c r="T70"/>
      <c r="U70"/>
      <c r="V70"/>
      <c r="W70"/>
      <c r="X70"/>
      <c r="Y70"/>
      <c r="Z70"/>
      <c r="AA70"/>
      <c r="AB70"/>
      <c r="AC70"/>
      <c r="AD70"/>
      <c r="AE70"/>
      <c r="AF70"/>
      <c r="AG70"/>
      <c r="AH70"/>
      <c r="AI70"/>
      <c r="AJ70"/>
      <c r="AK70"/>
      <c r="AL70"/>
      <c r="AM70"/>
      <c r="AN70"/>
      <c r="AO70"/>
    </row>
    <row r="71" spans="1:41">
      <c r="A71"/>
      <c r="B71"/>
      <c r="C71"/>
      <c r="D71"/>
      <c r="E71"/>
      <c r="F71"/>
      <c r="G71"/>
      <c r="H71"/>
      <c r="I71"/>
      <c r="J71"/>
      <c r="K71"/>
      <c r="L71"/>
      <c r="M71"/>
      <c r="N71"/>
      <c r="O71"/>
      <c r="P71"/>
      <c r="Q71"/>
      <c r="R71"/>
      <c r="S71"/>
      <c r="T71"/>
      <c r="U71"/>
      <c r="V71"/>
      <c r="W71"/>
      <c r="X71"/>
      <c r="Y71"/>
      <c r="Z71"/>
      <c r="AA71"/>
      <c r="AB71"/>
      <c r="AC71"/>
      <c r="AD71"/>
      <c r="AE71"/>
      <c r="AF71"/>
      <c r="AG71"/>
      <c r="AH71"/>
      <c r="AI71"/>
      <c r="AJ71"/>
      <c r="AK71"/>
      <c r="AL71"/>
      <c r="AM71"/>
      <c r="AN71"/>
      <c r="AO71"/>
    </row>
    <row r="72" spans="1:41" ht="14.25" customHeight="1">
      <c r="A72"/>
      <c r="B72"/>
      <c r="C72"/>
      <c r="D72"/>
      <c r="E72"/>
      <c r="F72"/>
      <c r="G72"/>
      <c r="H72"/>
      <c r="I72"/>
      <c r="J72"/>
      <c r="K72"/>
      <c r="L72"/>
      <c r="M72"/>
      <c r="N72"/>
      <c r="O72"/>
      <c r="P72"/>
      <c r="Q72"/>
      <c r="R72"/>
      <c r="S72"/>
      <c r="T72"/>
      <c r="U72"/>
      <c r="V72"/>
      <c r="W72"/>
      <c r="X72"/>
      <c r="Y72"/>
      <c r="Z72"/>
      <c r="AA72"/>
      <c r="AB72"/>
      <c r="AC72"/>
      <c r="AD72"/>
      <c r="AE72"/>
      <c r="AF72"/>
      <c r="AG72"/>
      <c r="AH72"/>
      <c r="AI72"/>
      <c r="AJ72"/>
      <c r="AK72"/>
      <c r="AL72"/>
      <c r="AM72"/>
      <c r="AN72"/>
      <c r="AO72"/>
    </row>
    <row r="73" spans="1:41">
      <c r="A73"/>
      <c r="B73"/>
      <c r="C73"/>
      <c r="D73"/>
      <c r="E73"/>
      <c r="F73"/>
      <c r="G73"/>
      <c r="H73"/>
      <c r="I73"/>
      <c r="J73"/>
      <c r="K73"/>
      <c r="L73"/>
      <c r="M73"/>
      <c r="N73"/>
      <c r="O73"/>
      <c r="P73"/>
      <c r="Q73"/>
      <c r="R73"/>
      <c r="S73"/>
      <c r="T73"/>
      <c r="U73"/>
      <c r="V73"/>
      <c r="W73"/>
      <c r="X73"/>
      <c r="Y73"/>
      <c r="Z73"/>
      <c r="AA73"/>
      <c r="AB73"/>
      <c r="AC73"/>
      <c r="AD73"/>
      <c r="AE73"/>
      <c r="AF73"/>
      <c r="AG73"/>
      <c r="AH73"/>
      <c r="AI73"/>
      <c r="AJ73"/>
      <c r="AK73"/>
      <c r="AL73"/>
      <c r="AM73"/>
      <c r="AN73"/>
      <c r="AO73"/>
    </row>
    <row r="74" spans="1:41" ht="4.5" customHeight="1">
      <c r="A74"/>
      <c r="B74"/>
      <c r="C74"/>
      <c r="D74"/>
      <c r="E74"/>
      <c r="F74"/>
      <c r="G74"/>
      <c r="H74"/>
      <c r="I74"/>
      <c r="J74"/>
      <c r="K74"/>
      <c r="L74"/>
      <c r="M74"/>
      <c r="N74"/>
      <c r="O74"/>
      <c r="P74"/>
      <c r="Q74"/>
      <c r="R74"/>
      <c r="S74"/>
      <c r="T74"/>
      <c r="U74"/>
      <c r="V74"/>
      <c r="W74"/>
      <c r="X74"/>
      <c r="Y74"/>
      <c r="Z74"/>
      <c r="AA74"/>
      <c r="AB74"/>
      <c r="AC74"/>
      <c r="AD74"/>
      <c r="AE74"/>
      <c r="AF74"/>
      <c r="AG74"/>
      <c r="AH74"/>
      <c r="AI74"/>
      <c r="AJ74"/>
      <c r="AK74"/>
      <c r="AL74"/>
      <c r="AM74"/>
      <c r="AN74"/>
      <c r="AO74"/>
    </row>
    <row r="75" spans="1:41" ht="4.5" hidden="1" customHeight="1" thickBot="1">
      <c r="A75"/>
      <c r="B75"/>
      <c r="C75"/>
      <c r="D75"/>
      <c r="E75"/>
      <c r="F75"/>
      <c r="G75"/>
      <c r="H75"/>
      <c r="I75"/>
      <c r="J75"/>
      <c r="K75"/>
      <c r="L75"/>
      <c r="M75"/>
      <c r="N75"/>
      <c r="O75"/>
      <c r="P75"/>
      <c r="Q75"/>
      <c r="R75"/>
      <c r="S75"/>
      <c r="T75"/>
      <c r="U75"/>
      <c r="V75"/>
      <c r="W75"/>
      <c r="X75"/>
      <c r="Y75"/>
      <c r="Z75"/>
      <c r="AA75"/>
      <c r="AB75"/>
      <c r="AC75"/>
      <c r="AD75"/>
      <c r="AE75"/>
      <c r="AF75"/>
      <c r="AG75"/>
      <c r="AH75"/>
      <c r="AI75"/>
      <c r="AJ75"/>
      <c r="AK75"/>
      <c r="AL75"/>
      <c r="AM75"/>
      <c r="AN75"/>
      <c r="AO75"/>
    </row>
    <row r="76" spans="1:41" ht="13.5" customHeight="1">
      <c r="A76"/>
      <c r="B76"/>
      <c r="C76"/>
      <c r="D76"/>
      <c r="E76"/>
      <c r="F76"/>
      <c r="G76"/>
      <c r="H76"/>
      <c r="I76"/>
      <c r="J76"/>
      <c r="K76"/>
      <c r="L76"/>
      <c r="M76"/>
      <c r="N76"/>
      <c r="O76"/>
      <c r="P76"/>
      <c r="Q76"/>
      <c r="R76"/>
      <c r="S76"/>
      <c r="T76"/>
      <c r="U76"/>
      <c r="V76"/>
      <c r="W76"/>
      <c r="X76"/>
      <c r="Y76"/>
      <c r="Z76"/>
      <c r="AA76"/>
      <c r="AB76"/>
      <c r="AC76"/>
      <c r="AD76"/>
      <c r="AE76"/>
      <c r="AF76"/>
      <c r="AG76"/>
      <c r="AH76"/>
      <c r="AI76"/>
      <c r="AJ76"/>
      <c r="AK76"/>
      <c r="AL76"/>
      <c r="AM76"/>
      <c r="AN76"/>
      <c r="AO76"/>
    </row>
    <row r="77" spans="1:41">
      <c r="A77"/>
      <c r="B77"/>
      <c r="C77"/>
      <c r="D77"/>
      <c r="E77"/>
      <c r="F77"/>
      <c r="G77"/>
      <c r="H77"/>
      <c r="I77"/>
      <c r="J77"/>
      <c r="K77"/>
      <c r="L77"/>
      <c r="M77"/>
      <c r="N77"/>
      <c r="O77"/>
      <c r="P77"/>
      <c r="Q77"/>
      <c r="R77"/>
      <c r="S77"/>
      <c r="T77"/>
      <c r="U77"/>
      <c r="V77"/>
      <c r="W77"/>
      <c r="X77"/>
      <c r="Y77"/>
      <c r="Z77"/>
      <c r="AA77"/>
      <c r="AB77"/>
      <c r="AC77"/>
      <c r="AD77"/>
      <c r="AE77"/>
      <c r="AF77"/>
      <c r="AG77"/>
      <c r="AH77"/>
      <c r="AI77"/>
      <c r="AJ77"/>
      <c r="AK77"/>
      <c r="AL77"/>
      <c r="AM77"/>
      <c r="AN77"/>
      <c r="AO77"/>
    </row>
    <row r="78" spans="1:41">
      <c r="A78"/>
      <c r="B78"/>
      <c r="C78"/>
      <c r="D78"/>
      <c r="E78"/>
      <c r="F78"/>
      <c r="G78"/>
      <c r="H78"/>
      <c r="I78"/>
      <c r="J78"/>
      <c r="K78"/>
      <c r="L78"/>
      <c r="M78"/>
      <c r="N78"/>
      <c r="O78"/>
      <c r="P78"/>
      <c r="Q78"/>
      <c r="R78"/>
      <c r="S78"/>
      <c r="T78"/>
      <c r="U78"/>
      <c r="V78"/>
      <c r="W78"/>
      <c r="X78"/>
      <c r="Y78"/>
      <c r="Z78"/>
      <c r="AA78"/>
      <c r="AB78"/>
      <c r="AC78"/>
      <c r="AD78"/>
      <c r="AE78"/>
      <c r="AF78"/>
      <c r="AG78"/>
      <c r="AH78"/>
      <c r="AI78"/>
      <c r="AJ78"/>
      <c r="AK78"/>
      <c r="AL78"/>
      <c r="AM78"/>
      <c r="AN78"/>
      <c r="AO78"/>
    </row>
    <row r="79" spans="1:41" ht="3" customHeight="1">
      <c r="A79"/>
      <c r="B79"/>
      <c r="C79"/>
      <c r="D79"/>
      <c r="E79"/>
      <c r="F79"/>
      <c r="G79"/>
      <c r="H79"/>
      <c r="I79"/>
      <c r="J79"/>
      <c r="K79"/>
      <c r="L79"/>
      <c r="M79"/>
      <c r="N79"/>
      <c r="O79"/>
      <c r="P79"/>
      <c r="Q79"/>
      <c r="R79"/>
      <c r="S79"/>
      <c r="T79"/>
      <c r="U79"/>
      <c r="V79"/>
      <c r="W79"/>
      <c r="X79"/>
      <c r="Y79"/>
      <c r="Z79"/>
      <c r="AA79"/>
      <c r="AB79"/>
      <c r="AC79"/>
      <c r="AD79"/>
      <c r="AE79"/>
      <c r="AF79"/>
      <c r="AG79"/>
      <c r="AH79"/>
      <c r="AI79"/>
      <c r="AJ79"/>
      <c r="AK79"/>
      <c r="AL79"/>
      <c r="AM79"/>
      <c r="AN79"/>
      <c r="AO79"/>
    </row>
    <row r="80" spans="1:41">
      <c r="A80"/>
      <c r="B80"/>
      <c r="C80"/>
      <c r="D80"/>
      <c r="E80"/>
      <c r="F80"/>
      <c r="G80"/>
      <c r="H80"/>
      <c r="I80"/>
      <c r="J80"/>
      <c r="K80"/>
      <c r="L80"/>
      <c r="M80"/>
      <c r="N80"/>
      <c r="O80"/>
      <c r="P80"/>
      <c r="Q80"/>
      <c r="R80"/>
      <c r="S80"/>
      <c r="T80"/>
      <c r="U80"/>
      <c r="V80"/>
      <c r="W80"/>
      <c r="X80"/>
      <c r="Y80"/>
      <c r="Z80"/>
      <c r="AA80"/>
      <c r="AB80"/>
      <c r="AC80"/>
      <c r="AD80"/>
      <c r="AE80"/>
      <c r="AF80"/>
      <c r="AG80"/>
      <c r="AH80"/>
      <c r="AI80"/>
      <c r="AJ80"/>
      <c r="AK80"/>
      <c r="AL80"/>
      <c r="AM80"/>
      <c r="AN80"/>
      <c r="AO80"/>
    </row>
    <row r="81" spans="1:41">
      <c r="A81"/>
      <c r="B81"/>
      <c r="C81"/>
      <c r="D81"/>
      <c r="E81"/>
      <c r="F81"/>
      <c r="G81"/>
      <c r="H81"/>
      <c r="I81"/>
      <c r="J81"/>
      <c r="K81"/>
      <c r="L81"/>
      <c r="M81"/>
      <c r="N81"/>
      <c r="O81"/>
      <c r="P81"/>
      <c r="Q81"/>
      <c r="R81"/>
      <c r="S81"/>
      <c r="T81"/>
      <c r="U81"/>
      <c r="V81"/>
      <c r="W81"/>
      <c r="X81"/>
      <c r="Y81"/>
      <c r="Z81"/>
      <c r="AA81"/>
      <c r="AB81"/>
      <c r="AC81"/>
      <c r="AD81"/>
      <c r="AE81"/>
      <c r="AF81"/>
      <c r="AG81"/>
      <c r="AH81"/>
      <c r="AI81"/>
      <c r="AJ81"/>
      <c r="AK81"/>
      <c r="AL81"/>
      <c r="AM81"/>
      <c r="AN81"/>
      <c r="AO81"/>
    </row>
    <row r="82" spans="1:41">
      <c r="A82"/>
      <c r="B82"/>
      <c r="C82"/>
      <c r="D82"/>
      <c r="E82"/>
      <c r="F82"/>
      <c r="G82"/>
      <c r="H82"/>
      <c r="I82"/>
      <c r="J82"/>
      <c r="K82"/>
      <c r="L82"/>
      <c r="M82"/>
      <c r="N82"/>
      <c r="O82"/>
      <c r="P82"/>
      <c r="Q82"/>
      <c r="R82"/>
      <c r="S82"/>
      <c r="T82"/>
      <c r="U82"/>
      <c r="V82"/>
      <c r="W82"/>
      <c r="X82"/>
      <c r="Y82"/>
      <c r="Z82"/>
      <c r="AA82"/>
      <c r="AB82"/>
      <c r="AC82"/>
      <c r="AD82"/>
      <c r="AE82"/>
      <c r="AF82"/>
      <c r="AG82"/>
      <c r="AH82"/>
      <c r="AI82"/>
      <c r="AJ82"/>
      <c r="AK82"/>
      <c r="AL82"/>
      <c r="AM82"/>
      <c r="AN82"/>
      <c r="AO82"/>
    </row>
    <row r="83" spans="1:41">
      <c r="A83"/>
      <c r="B83"/>
      <c r="C83"/>
      <c r="D83"/>
      <c r="E83"/>
      <c r="F83"/>
      <c r="G83"/>
      <c r="H83"/>
      <c r="I83"/>
      <c r="J83"/>
      <c r="K83"/>
      <c r="L83"/>
      <c r="M83"/>
      <c r="N83"/>
      <c r="O83"/>
      <c r="P83"/>
      <c r="Q83"/>
      <c r="R83"/>
      <c r="S83"/>
      <c r="T83"/>
      <c r="U83"/>
      <c r="V83"/>
      <c r="W83"/>
      <c r="X83"/>
      <c r="Y83"/>
      <c r="Z83"/>
      <c r="AA83"/>
      <c r="AB83"/>
      <c r="AC83"/>
      <c r="AD83"/>
      <c r="AE83"/>
      <c r="AF83"/>
      <c r="AG83"/>
      <c r="AH83"/>
      <c r="AI83"/>
      <c r="AJ83"/>
      <c r="AK83"/>
      <c r="AL83"/>
      <c r="AM83"/>
      <c r="AN83"/>
      <c r="AO83"/>
    </row>
    <row r="84" spans="1:41" ht="4.5" customHeight="1">
      <c r="A84"/>
      <c r="B84"/>
      <c r="C84"/>
      <c r="D84"/>
      <c r="E84"/>
      <c r="F84"/>
      <c r="G84"/>
      <c r="H84"/>
      <c r="I84"/>
      <c r="J84"/>
      <c r="K84"/>
      <c r="L84"/>
      <c r="M84"/>
      <c r="N84"/>
      <c r="O84"/>
      <c r="P84"/>
      <c r="Q84"/>
      <c r="R84"/>
      <c r="S84"/>
      <c r="T84"/>
      <c r="U84"/>
      <c r="V84"/>
      <c r="W84"/>
      <c r="X84"/>
      <c r="Y84"/>
      <c r="Z84"/>
      <c r="AA84"/>
      <c r="AB84"/>
      <c r="AC84"/>
      <c r="AD84"/>
      <c r="AE84"/>
      <c r="AF84"/>
      <c r="AG84"/>
      <c r="AH84"/>
      <c r="AI84"/>
      <c r="AJ84"/>
      <c r="AK84"/>
      <c r="AL84"/>
      <c r="AM84"/>
      <c r="AN84"/>
      <c r="AO84"/>
    </row>
    <row r="85" spans="1:41" ht="12.75" customHeight="1">
      <c r="A85"/>
      <c r="B85"/>
      <c r="C85"/>
      <c r="D85"/>
      <c r="E85"/>
      <c r="F85"/>
      <c r="G85"/>
      <c r="H85"/>
      <c r="I85"/>
      <c r="J85"/>
      <c r="K85"/>
      <c r="L85"/>
      <c r="M85"/>
      <c r="N85"/>
      <c r="O85"/>
      <c r="P85"/>
      <c r="Q85"/>
      <c r="R85"/>
      <c r="S85"/>
      <c r="T85"/>
      <c r="U85"/>
      <c r="V85"/>
      <c r="W85"/>
      <c r="X85"/>
      <c r="Y85"/>
      <c r="Z85"/>
      <c r="AA85"/>
      <c r="AB85"/>
      <c r="AC85"/>
      <c r="AD85"/>
      <c r="AE85"/>
      <c r="AF85"/>
      <c r="AG85"/>
      <c r="AH85"/>
      <c r="AI85"/>
      <c r="AJ85"/>
      <c r="AK85"/>
      <c r="AL85"/>
      <c r="AM85"/>
      <c r="AN85"/>
      <c r="AO85"/>
    </row>
    <row r="86" spans="1:41">
      <c r="A86"/>
      <c r="B86"/>
      <c r="C86"/>
      <c r="D86"/>
      <c r="E86"/>
      <c r="F86"/>
      <c r="G86"/>
      <c r="H86"/>
      <c r="I86"/>
      <c r="J86"/>
      <c r="K86"/>
      <c r="L86"/>
      <c r="M86"/>
      <c r="N86"/>
      <c r="O86"/>
      <c r="P86"/>
      <c r="Q86"/>
      <c r="R86"/>
      <c r="S86"/>
      <c r="T86"/>
      <c r="U86"/>
      <c r="V86"/>
      <c r="W86"/>
      <c r="X86"/>
      <c r="Y86"/>
      <c r="Z86"/>
      <c r="AA86"/>
      <c r="AB86"/>
      <c r="AC86"/>
      <c r="AD86"/>
      <c r="AE86"/>
      <c r="AF86"/>
      <c r="AG86"/>
      <c r="AH86"/>
      <c r="AI86"/>
      <c r="AJ86"/>
      <c r="AK86"/>
      <c r="AL86"/>
      <c r="AM86"/>
      <c r="AN86"/>
      <c r="AO86"/>
    </row>
    <row r="87" spans="1:41" ht="3" customHeight="1">
      <c r="A87"/>
      <c r="B87"/>
      <c r="C87"/>
      <c r="D87"/>
      <c r="E87"/>
      <c r="F87"/>
      <c r="G87"/>
      <c r="H87"/>
      <c r="I87"/>
      <c r="J87"/>
      <c r="K87"/>
      <c r="L87"/>
      <c r="M87"/>
      <c r="N87"/>
      <c r="O87"/>
      <c r="P87"/>
      <c r="Q87"/>
      <c r="R87"/>
      <c r="S87"/>
      <c r="T87"/>
      <c r="U87"/>
      <c r="V87"/>
      <c r="W87"/>
      <c r="X87"/>
      <c r="Y87"/>
      <c r="Z87"/>
      <c r="AA87"/>
      <c r="AB87"/>
      <c r="AC87"/>
      <c r="AD87"/>
      <c r="AE87"/>
      <c r="AF87"/>
      <c r="AG87"/>
      <c r="AH87"/>
      <c r="AI87"/>
      <c r="AJ87"/>
      <c r="AK87"/>
      <c r="AL87"/>
      <c r="AM87"/>
      <c r="AN87"/>
      <c r="AO87"/>
    </row>
    <row r="88" spans="1:41" ht="14.25" customHeight="1">
      <c r="A88"/>
      <c r="B88"/>
      <c r="C88"/>
      <c r="D88"/>
      <c r="E88"/>
      <c r="F88"/>
      <c r="G88"/>
      <c r="H88"/>
      <c r="I88"/>
      <c r="J88"/>
      <c r="K88"/>
      <c r="L88"/>
      <c r="M88"/>
      <c r="N88"/>
      <c r="O88"/>
      <c r="P88"/>
      <c r="Q88"/>
      <c r="R88"/>
      <c r="S88"/>
      <c r="T88"/>
      <c r="U88"/>
      <c r="V88"/>
      <c r="W88"/>
      <c r="X88"/>
      <c r="Y88"/>
      <c r="Z88"/>
      <c r="AA88"/>
      <c r="AB88"/>
      <c r="AC88"/>
      <c r="AD88"/>
      <c r="AE88"/>
      <c r="AF88"/>
      <c r="AG88"/>
      <c r="AH88"/>
      <c r="AI88"/>
      <c r="AJ88"/>
      <c r="AK88"/>
      <c r="AL88"/>
      <c r="AM88"/>
      <c r="AN88"/>
      <c r="AO88"/>
    </row>
    <row r="89" spans="1:41" ht="3" customHeight="1">
      <c r="A89"/>
      <c r="B89"/>
      <c r="C89"/>
      <c r="D89"/>
      <c r="E89"/>
      <c r="F89"/>
      <c r="G89"/>
      <c r="H89"/>
      <c r="I89"/>
      <c r="J89"/>
      <c r="K89"/>
      <c r="L89"/>
      <c r="M89"/>
      <c r="N89"/>
      <c r="O89"/>
      <c r="P89"/>
      <c r="Q89"/>
      <c r="R89"/>
      <c r="S89"/>
      <c r="T89"/>
      <c r="U89"/>
      <c r="V89"/>
      <c r="W89"/>
      <c r="X89"/>
      <c r="Y89"/>
      <c r="Z89"/>
      <c r="AA89"/>
      <c r="AB89"/>
      <c r="AC89"/>
      <c r="AD89"/>
      <c r="AE89"/>
      <c r="AF89"/>
      <c r="AG89"/>
      <c r="AH89"/>
      <c r="AI89"/>
      <c r="AJ89"/>
      <c r="AK89"/>
      <c r="AL89"/>
      <c r="AM89"/>
      <c r="AN89"/>
      <c r="AO89"/>
    </row>
    <row r="90" spans="1:41" ht="2.25" customHeight="1">
      <c r="A90"/>
      <c r="B90"/>
      <c r="C90"/>
      <c r="D90"/>
      <c r="E90"/>
      <c r="F90"/>
      <c r="G90"/>
      <c r="H90"/>
      <c r="I90"/>
      <c r="J90"/>
      <c r="K90"/>
      <c r="L90"/>
      <c r="M90"/>
      <c r="N90"/>
      <c r="O90"/>
      <c r="P90"/>
      <c r="Q90"/>
      <c r="R90"/>
      <c r="S90"/>
      <c r="T90"/>
      <c r="U90"/>
      <c r="V90"/>
      <c r="W90"/>
      <c r="X90"/>
      <c r="Y90"/>
      <c r="Z90"/>
      <c r="AA90"/>
      <c r="AB90"/>
      <c r="AC90"/>
      <c r="AD90"/>
      <c r="AE90"/>
      <c r="AF90"/>
      <c r="AG90"/>
      <c r="AH90"/>
      <c r="AI90"/>
      <c r="AJ90"/>
      <c r="AK90"/>
      <c r="AL90"/>
      <c r="AM90"/>
      <c r="AN90"/>
      <c r="AO90"/>
    </row>
    <row r="91" spans="1:41" ht="12.75" customHeight="1">
      <c r="A91"/>
      <c r="B91"/>
      <c r="C91"/>
      <c r="D91"/>
      <c r="E91"/>
      <c r="F91"/>
      <c r="G91"/>
      <c r="H91"/>
      <c r="I91"/>
      <c r="J91"/>
      <c r="K91"/>
      <c r="L91"/>
      <c r="M91"/>
      <c r="N91"/>
      <c r="O91"/>
      <c r="P91"/>
      <c r="Q91"/>
      <c r="R91"/>
      <c r="S91"/>
      <c r="T91"/>
      <c r="U91"/>
      <c r="V91"/>
      <c r="W91"/>
      <c r="X91"/>
      <c r="Y91"/>
      <c r="Z91"/>
      <c r="AA91"/>
      <c r="AB91"/>
      <c r="AC91"/>
      <c r="AD91"/>
      <c r="AE91"/>
      <c r="AF91"/>
      <c r="AG91"/>
      <c r="AH91"/>
      <c r="AI91"/>
      <c r="AJ91"/>
      <c r="AK91"/>
      <c r="AL91"/>
      <c r="AM91"/>
      <c r="AN91"/>
      <c r="AO91"/>
    </row>
    <row r="92" spans="1:41">
      <c r="A92"/>
      <c r="B92"/>
      <c r="C92"/>
      <c r="D92"/>
      <c r="E92"/>
      <c r="F92"/>
      <c r="G92"/>
      <c r="H92"/>
      <c r="I92"/>
      <c r="J92"/>
      <c r="K92"/>
      <c r="L92"/>
      <c r="M92"/>
      <c r="N92"/>
      <c r="O92"/>
      <c r="P92"/>
      <c r="Q92"/>
      <c r="R92"/>
      <c r="S92"/>
      <c r="T92"/>
      <c r="U92"/>
      <c r="V92"/>
      <c r="W92"/>
      <c r="X92"/>
      <c r="Y92"/>
      <c r="Z92"/>
      <c r="AA92"/>
      <c r="AB92"/>
      <c r="AC92"/>
      <c r="AD92"/>
      <c r="AE92"/>
      <c r="AF92"/>
      <c r="AG92"/>
      <c r="AH92"/>
      <c r="AI92"/>
      <c r="AJ92"/>
      <c r="AK92"/>
      <c r="AL92"/>
      <c r="AM92"/>
      <c r="AN92"/>
      <c r="AO92"/>
    </row>
    <row r="93" spans="1:41" ht="3" customHeight="1">
      <c r="A93"/>
      <c r="B93"/>
      <c r="C93"/>
      <c r="D93"/>
      <c r="E93"/>
      <c r="F93"/>
      <c r="G93"/>
      <c r="H93"/>
      <c r="I93"/>
      <c r="J93"/>
      <c r="K93"/>
      <c r="L93"/>
      <c r="M93"/>
      <c r="N93"/>
      <c r="O93"/>
      <c r="P93"/>
      <c r="Q93"/>
      <c r="R93"/>
      <c r="S93"/>
      <c r="T93"/>
      <c r="U93"/>
      <c r="V93"/>
      <c r="W93"/>
      <c r="X93"/>
      <c r="Y93"/>
      <c r="Z93"/>
      <c r="AA93"/>
      <c r="AB93"/>
      <c r="AC93"/>
      <c r="AD93"/>
      <c r="AE93"/>
      <c r="AF93"/>
      <c r="AG93"/>
      <c r="AH93"/>
      <c r="AI93"/>
      <c r="AJ93"/>
      <c r="AK93"/>
      <c r="AL93"/>
      <c r="AM93"/>
      <c r="AN93"/>
      <c r="AO93"/>
    </row>
    <row r="94" spans="1:41">
      <c r="A94"/>
      <c r="B94"/>
      <c r="C94"/>
      <c r="D94"/>
      <c r="E94"/>
      <c r="F94"/>
      <c r="G94"/>
      <c r="H94"/>
      <c r="I94"/>
      <c r="J94"/>
      <c r="K94"/>
      <c r="L94"/>
      <c r="M94"/>
      <c r="N94"/>
      <c r="O94"/>
      <c r="P94"/>
      <c r="Q94"/>
      <c r="R94"/>
      <c r="S94"/>
      <c r="T94"/>
      <c r="U94"/>
      <c r="V94"/>
      <c r="W94"/>
      <c r="X94"/>
      <c r="Y94"/>
      <c r="Z94"/>
      <c r="AA94"/>
      <c r="AB94"/>
      <c r="AC94"/>
      <c r="AD94"/>
      <c r="AE94"/>
      <c r="AF94"/>
      <c r="AG94"/>
      <c r="AH94"/>
      <c r="AI94"/>
      <c r="AJ94"/>
      <c r="AK94"/>
      <c r="AL94"/>
      <c r="AM94"/>
      <c r="AN94"/>
      <c r="AO94"/>
    </row>
    <row r="95" spans="1:41" ht="4.5" customHeight="1">
      <c r="A95"/>
      <c r="B95"/>
      <c r="C95"/>
      <c r="D95"/>
      <c r="E95"/>
      <c r="F95"/>
      <c r="G95"/>
      <c r="H95"/>
      <c r="I95"/>
      <c r="J95"/>
      <c r="K95"/>
      <c r="L95"/>
      <c r="M95"/>
      <c r="N95"/>
      <c r="O95"/>
      <c r="P95"/>
      <c r="Q95"/>
      <c r="R95"/>
      <c r="S95"/>
      <c r="T95"/>
      <c r="U95"/>
      <c r="V95"/>
      <c r="W95"/>
      <c r="X95"/>
      <c r="Y95"/>
      <c r="Z95"/>
      <c r="AA95"/>
      <c r="AB95"/>
      <c r="AC95"/>
      <c r="AD95"/>
      <c r="AE95"/>
      <c r="AF95"/>
      <c r="AG95"/>
      <c r="AH95"/>
      <c r="AI95"/>
      <c r="AJ95"/>
      <c r="AK95"/>
      <c r="AL95"/>
      <c r="AM95"/>
      <c r="AN95"/>
      <c r="AO95"/>
    </row>
    <row r="96" spans="1:41">
      <c r="A96"/>
      <c r="B96"/>
      <c r="C96"/>
      <c r="D96"/>
      <c r="E96"/>
      <c r="F96"/>
      <c r="G96"/>
      <c r="H96"/>
      <c r="I96"/>
      <c r="J96"/>
      <c r="K96"/>
      <c r="L96"/>
      <c r="M96"/>
      <c r="N96"/>
      <c r="O96"/>
      <c r="P96"/>
      <c r="Q96"/>
      <c r="R96"/>
      <c r="S96"/>
      <c r="T96"/>
      <c r="U96"/>
      <c r="V96"/>
      <c r="W96"/>
      <c r="X96"/>
      <c r="Y96"/>
      <c r="Z96"/>
      <c r="AA96"/>
      <c r="AB96"/>
      <c r="AC96"/>
      <c r="AD96"/>
      <c r="AE96"/>
      <c r="AF96"/>
      <c r="AG96"/>
      <c r="AH96"/>
      <c r="AI96"/>
      <c r="AJ96"/>
      <c r="AK96"/>
      <c r="AL96"/>
      <c r="AM96"/>
      <c r="AN96"/>
      <c r="AO96"/>
    </row>
    <row r="97" spans="1:41" ht="4.5" customHeight="1">
      <c r="A97"/>
      <c r="B97"/>
      <c r="C97"/>
      <c r="D97"/>
      <c r="E97"/>
      <c r="F97"/>
      <c r="G97"/>
      <c r="H97"/>
      <c r="I97"/>
      <c r="J97"/>
      <c r="K97"/>
      <c r="L97"/>
      <c r="M97"/>
      <c r="N97"/>
      <c r="O97"/>
      <c r="P97"/>
      <c r="Q97"/>
      <c r="R97"/>
      <c r="S97"/>
      <c r="T97"/>
      <c r="U97"/>
      <c r="V97"/>
      <c r="W97"/>
      <c r="X97"/>
      <c r="Y97"/>
      <c r="Z97"/>
      <c r="AA97"/>
      <c r="AB97"/>
      <c r="AC97"/>
      <c r="AD97"/>
      <c r="AE97"/>
      <c r="AF97"/>
      <c r="AG97"/>
      <c r="AH97"/>
      <c r="AI97"/>
      <c r="AJ97"/>
      <c r="AK97"/>
      <c r="AL97"/>
      <c r="AM97"/>
      <c r="AN97"/>
      <c r="AO97"/>
    </row>
    <row r="98" spans="1:41" ht="6" customHeight="1">
      <c r="A98"/>
      <c r="B98"/>
      <c r="C98"/>
      <c r="D98"/>
      <c r="E98"/>
      <c r="F98"/>
      <c r="G98"/>
      <c r="H98"/>
      <c r="I98"/>
      <c r="J98"/>
      <c r="K98"/>
      <c r="L98"/>
      <c r="M98"/>
      <c r="N98"/>
      <c r="O98"/>
      <c r="P98"/>
      <c r="Q98"/>
      <c r="R98"/>
      <c r="S98"/>
      <c r="T98"/>
      <c r="U98"/>
      <c r="V98"/>
      <c r="W98"/>
      <c r="X98"/>
      <c r="Y98"/>
      <c r="Z98"/>
      <c r="AA98"/>
      <c r="AB98"/>
      <c r="AC98"/>
      <c r="AD98"/>
      <c r="AE98"/>
      <c r="AF98"/>
      <c r="AG98"/>
      <c r="AH98"/>
      <c r="AI98"/>
      <c r="AJ98"/>
      <c r="AK98"/>
      <c r="AL98"/>
      <c r="AM98"/>
      <c r="AN98"/>
      <c r="AO98"/>
    </row>
    <row r="99" spans="1:41" ht="4.5" customHeight="1">
      <c r="A99"/>
      <c r="B99"/>
      <c r="C99"/>
      <c r="D99"/>
      <c r="E99"/>
      <c r="F99"/>
      <c r="G99"/>
      <c r="H99"/>
      <c r="I99"/>
      <c r="J99"/>
      <c r="K99"/>
      <c r="L99"/>
      <c r="M99"/>
      <c r="N99"/>
      <c r="O99"/>
      <c r="P99"/>
      <c r="Q99"/>
      <c r="R99"/>
      <c r="S99"/>
      <c r="T99"/>
      <c r="U99"/>
      <c r="V99"/>
      <c r="W99"/>
      <c r="X99"/>
      <c r="Y99"/>
      <c r="Z99"/>
      <c r="AA99"/>
      <c r="AB99"/>
      <c r="AC99"/>
      <c r="AD99"/>
      <c r="AE99"/>
      <c r="AF99"/>
      <c r="AG99"/>
      <c r="AH99"/>
      <c r="AI99"/>
      <c r="AJ99"/>
      <c r="AK99"/>
      <c r="AL99"/>
      <c r="AM99"/>
      <c r="AN99"/>
      <c r="AO99"/>
    </row>
    <row r="100" spans="1:41">
      <c r="A100"/>
      <c r="B100"/>
      <c r="C100"/>
      <c r="D100"/>
      <c r="E100"/>
      <c r="F100"/>
      <c r="G100"/>
      <c r="H100"/>
      <c r="I100"/>
      <c r="J100"/>
      <c r="K100"/>
      <c r="L100"/>
      <c r="M100"/>
      <c r="N100"/>
      <c r="O100"/>
      <c r="P100"/>
      <c r="Q100"/>
      <c r="R100"/>
      <c r="S100"/>
      <c r="T100"/>
      <c r="U100"/>
      <c r="V100"/>
      <c r="W100"/>
      <c r="X100"/>
      <c r="Y100"/>
      <c r="Z100"/>
      <c r="AA100"/>
      <c r="AB100"/>
      <c r="AC100"/>
      <c r="AD100"/>
      <c r="AE100"/>
      <c r="AF100"/>
      <c r="AG100"/>
      <c r="AH100"/>
      <c r="AI100"/>
      <c r="AJ100"/>
      <c r="AK100"/>
      <c r="AL100"/>
      <c r="AM100"/>
      <c r="AN100"/>
      <c r="AO100"/>
    </row>
    <row r="101" spans="1:41">
      <c r="A101"/>
      <c r="B101"/>
      <c r="C101"/>
      <c r="D101"/>
      <c r="E101"/>
      <c r="F101"/>
      <c r="G101"/>
      <c r="H101"/>
      <c r="I101"/>
      <c r="J101"/>
      <c r="K101"/>
      <c r="L101"/>
      <c r="M101"/>
      <c r="N101"/>
      <c r="O101"/>
      <c r="P101"/>
      <c r="Q101"/>
      <c r="R101"/>
      <c r="S101"/>
      <c r="T101"/>
      <c r="U101"/>
      <c r="V101"/>
      <c r="W101"/>
      <c r="X101"/>
      <c r="Y101"/>
      <c r="Z101"/>
      <c r="AA101"/>
      <c r="AB101"/>
      <c r="AC101"/>
      <c r="AD101"/>
      <c r="AE101"/>
      <c r="AF101"/>
      <c r="AG101"/>
      <c r="AH101"/>
      <c r="AI101"/>
      <c r="AJ101"/>
      <c r="AK101"/>
      <c r="AL101"/>
      <c r="AM101"/>
      <c r="AN101"/>
      <c r="AO101"/>
    </row>
    <row r="102" spans="1:41">
      <c r="A102"/>
      <c r="B102"/>
      <c r="C102"/>
      <c r="D102"/>
      <c r="E102"/>
      <c r="F102"/>
      <c r="G102"/>
      <c r="H102"/>
      <c r="I102"/>
      <c r="J102"/>
      <c r="K102"/>
      <c r="L102"/>
      <c r="M102"/>
      <c r="N102"/>
      <c r="O102"/>
      <c r="P102"/>
      <c r="Q102"/>
      <c r="R102"/>
      <c r="S102"/>
      <c r="T102"/>
      <c r="U102"/>
      <c r="V102"/>
      <c r="W102"/>
      <c r="X102"/>
      <c r="Y102"/>
      <c r="Z102"/>
      <c r="AA102"/>
      <c r="AB102"/>
      <c r="AC102"/>
      <c r="AD102"/>
      <c r="AE102"/>
      <c r="AF102"/>
      <c r="AG102"/>
      <c r="AH102"/>
      <c r="AI102"/>
      <c r="AJ102"/>
      <c r="AK102"/>
      <c r="AL102"/>
      <c r="AM102"/>
      <c r="AN102"/>
      <c r="AO102"/>
    </row>
    <row r="103" spans="1:41">
      <c r="A103"/>
      <c r="B103"/>
      <c r="C103"/>
      <c r="D103"/>
      <c r="E103"/>
      <c r="F103"/>
      <c r="G103"/>
      <c r="H103"/>
      <c r="I103"/>
      <c r="J103"/>
      <c r="K103"/>
      <c r="L103"/>
      <c r="M103"/>
      <c r="N103"/>
      <c r="O103"/>
      <c r="P103"/>
      <c r="Q103"/>
      <c r="R103"/>
      <c r="S103"/>
      <c r="T103"/>
      <c r="U103"/>
      <c r="V103"/>
      <c r="W103"/>
      <c r="X103"/>
      <c r="Y103"/>
      <c r="Z103"/>
      <c r="AA103"/>
      <c r="AB103"/>
      <c r="AC103"/>
      <c r="AD103"/>
      <c r="AE103"/>
      <c r="AF103"/>
      <c r="AG103"/>
      <c r="AH103"/>
      <c r="AI103"/>
      <c r="AJ103"/>
      <c r="AK103"/>
      <c r="AL103"/>
      <c r="AM103"/>
      <c r="AN103"/>
      <c r="AO103"/>
    </row>
    <row r="104" spans="1:41">
      <c r="A104"/>
      <c r="B104"/>
      <c r="C104"/>
      <c r="D104"/>
      <c r="E104"/>
      <c r="F104"/>
      <c r="G104"/>
      <c r="H104"/>
      <c r="I104"/>
      <c r="J104"/>
      <c r="K104"/>
      <c r="L104"/>
      <c r="M104"/>
      <c r="N104"/>
      <c r="O104"/>
      <c r="P104"/>
      <c r="Q104"/>
      <c r="R104"/>
      <c r="S104"/>
      <c r="T104"/>
      <c r="U104"/>
      <c r="V104"/>
      <c r="W104"/>
      <c r="X104"/>
      <c r="Y104"/>
      <c r="Z104"/>
      <c r="AA104"/>
      <c r="AB104"/>
      <c r="AC104"/>
      <c r="AD104"/>
      <c r="AE104"/>
      <c r="AF104"/>
      <c r="AG104"/>
      <c r="AH104"/>
      <c r="AI104"/>
      <c r="AJ104"/>
      <c r="AK104"/>
      <c r="AL104"/>
      <c r="AM104"/>
      <c r="AN104"/>
      <c r="AO104"/>
    </row>
    <row r="105" spans="1:41">
      <c r="A105"/>
      <c r="B105"/>
      <c r="C105"/>
      <c r="D105"/>
      <c r="E105"/>
      <c r="F105"/>
      <c r="G105"/>
      <c r="H105"/>
      <c r="I105"/>
      <c r="J105"/>
      <c r="K105"/>
      <c r="L105"/>
      <c r="M105"/>
      <c r="N105"/>
      <c r="O105"/>
      <c r="P105"/>
      <c r="Q105"/>
      <c r="R105"/>
      <c r="S105"/>
      <c r="T105"/>
      <c r="U105"/>
      <c r="V105"/>
      <c r="W105"/>
      <c r="X105"/>
      <c r="Y105"/>
      <c r="Z105"/>
      <c r="AA105"/>
      <c r="AB105"/>
      <c r="AC105"/>
      <c r="AD105"/>
      <c r="AE105"/>
      <c r="AF105"/>
      <c r="AG105"/>
      <c r="AH105"/>
      <c r="AI105"/>
      <c r="AJ105"/>
      <c r="AK105"/>
      <c r="AL105"/>
      <c r="AM105"/>
      <c r="AN105"/>
      <c r="AO105"/>
    </row>
    <row r="106" spans="1:41">
      <c r="A106"/>
      <c r="B106"/>
      <c r="C106"/>
      <c r="D106"/>
      <c r="E106"/>
      <c r="F106"/>
      <c r="G106"/>
      <c r="H106"/>
      <c r="I106"/>
      <c r="J106"/>
      <c r="K106"/>
      <c r="L106"/>
      <c r="M106"/>
      <c r="N106"/>
      <c r="O106"/>
      <c r="P106"/>
      <c r="Q106"/>
      <c r="R106"/>
      <c r="S106"/>
      <c r="T106"/>
      <c r="U106"/>
      <c r="V106"/>
      <c r="W106"/>
      <c r="X106"/>
      <c r="Y106"/>
      <c r="Z106"/>
      <c r="AA106"/>
      <c r="AB106"/>
      <c r="AC106"/>
      <c r="AD106"/>
      <c r="AE106"/>
      <c r="AF106"/>
      <c r="AG106"/>
      <c r="AH106"/>
      <c r="AI106"/>
      <c r="AJ106"/>
      <c r="AK106"/>
      <c r="AL106"/>
      <c r="AM106"/>
      <c r="AN106"/>
      <c r="AO106"/>
    </row>
    <row r="107" spans="1:41">
      <c r="A107"/>
      <c r="B107"/>
      <c r="C107"/>
      <c r="D107"/>
      <c r="E107"/>
      <c r="F107"/>
      <c r="G107"/>
      <c r="H107"/>
      <c r="I107"/>
      <c r="J107"/>
      <c r="K107"/>
      <c r="L107"/>
      <c r="M107"/>
      <c r="N107"/>
      <c r="O107"/>
      <c r="P107"/>
      <c r="Q107"/>
      <c r="R107"/>
      <c r="S107"/>
      <c r="T107"/>
      <c r="U107"/>
      <c r="V107"/>
      <c r="W107"/>
      <c r="X107"/>
      <c r="Y107"/>
      <c r="Z107"/>
      <c r="AA107"/>
      <c r="AB107"/>
      <c r="AC107"/>
      <c r="AD107"/>
      <c r="AE107"/>
      <c r="AF107"/>
      <c r="AG107"/>
      <c r="AH107"/>
      <c r="AI107"/>
      <c r="AJ107"/>
      <c r="AK107"/>
      <c r="AL107"/>
      <c r="AM107"/>
      <c r="AN107"/>
      <c r="AO107"/>
    </row>
    <row r="108" spans="1:41">
      <c r="A108"/>
      <c r="B108"/>
      <c r="C108"/>
      <c r="D108"/>
      <c r="E108"/>
      <c r="F108"/>
      <c r="G108"/>
      <c r="H108"/>
      <c r="I108"/>
      <c r="J108"/>
      <c r="K108"/>
      <c r="L108"/>
      <c r="M108"/>
      <c r="N108"/>
      <c r="O108"/>
      <c r="P108"/>
      <c r="Q108"/>
      <c r="R108"/>
      <c r="S108"/>
      <c r="T108"/>
      <c r="U108"/>
      <c r="V108"/>
      <c r="W108"/>
      <c r="X108"/>
      <c r="Y108"/>
      <c r="Z108"/>
      <c r="AA108"/>
      <c r="AB108"/>
      <c r="AC108"/>
      <c r="AD108"/>
      <c r="AE108"/>
      <c r="AF108"/>
      <c r="AG108"/>
      <c r="AH108"/>
      <c r="AI108"/>
      <c r="AJ108"/>
      <c r="AK108"/>
      <c r="AL108"/>
      <c r="AM108"/>
      <c r="AN108"/>
      <c r="AO108"/>
    </row>
    <row r="109" spans="1:41">
      <c r="A109"/>
      <c r="B109"/>
      <c r="C109"/>
      <c r="D109"/>
      <c r="E109"/>
      <c r="F109"/>
      <c r="G109"/>
      <c r="H109"/>
      <c r="I109"/>
      <c r="J109"/>
      <c r="K109"/>
      <c r="L109"/>
      <c r="M109"/>
      <c r="N109"/>
      <c r="O109"/>
      <c r="P109"/>
      <c r="Q109"/>
      <c r="R109"/>
      <c r="S109"/>
      <c r="T109"/>
      <c r="U109"/>
      <c r="V109"/>
      <c r="W109"/>
      <c r="X109"/>
      <c r="Y109"/>
      <c r="Z109"/>
      <c r="AA109"/>
      <c r="AB109"/>
      <c r="AC109"/>
      <c r="AD109"/>
      <c r="AE109"/>
      <c r="AF109"/>
      <c r="AG109"/>
      <c r="AH109"/>
      <c r="AI109"/>
      <c r="AJ109"/>
      <c r="AK109"/>
      <c r="AL109"/>
      <c r="AM109"/>
      <c r="AN109"/>
      <c r="AO109"/>
    </row>
    <row r="110" spans="1:41">
      <c r="A110"/>
      <c r="B110"/>
      <c r="C110"/>
      <c r="D110"/>
      <c r="E110"/>
      <c r="F110"/>
      <c r="G110"/>
      <c r="H110"/>
      <c r="I110"/>
      <c r="J110"/>
      <c r="K110"/>
      <c r="L110"/>
      <c r="M110"/>
      <c r="N110"/>
      <c r="O110"/>
      <c r="P110"/>
      <c r="Q110"/>
      <c r="R110"/>
      <c r="S110"/>
      <c r="T110"/>
      <c r="U110"/>
      <c r="V110"/>
      <c r="W110"/>
      <c r="X110"/>
      <c r="Y110"/>
      <c r="Z110"/>
      <c r="AA110"/>
      <c r="AB110"/>
      <c r="AC110"/>
      <c r="AD110"/>
      <c r="AE110"/>
      <c r="AF110"/>
      <c r="AG110"/>
      <c r="AH110"/>
      <c r="AI110"/>
      <c r="AJ110"/>
      <c r="AK110"/>
      <c r="AL110"/>
      <c r="AM110"/>
      <c r="AN110"/>
      <c r="AO110"/>
    </row>
    <row r="111" spans="1:41">
      <c r="A111"/>
      <c r="B111"/>
      <c r="C111"/>
      <c r="D111"/>
      <c r="E111"/>
      <c r="F111"/>
      <c r="G111"/>
      <c r="H111"/>
      <c r="I111"/>
      <c r="J111"/>
      <c r="K111"/>
      <c r="L111"/>
      <c r="M111"/>
      <c r="N111"/>
      <c r="O111"/>
      <c r="P111"/>
      <c r="Q111"/>
      <c r="R111"/>
      <c r="S111"/>
      <c r="T111"/>
      <c r="U111"/>
      <c r="V111"/>
      <c r="W111"/>
      <c r="X111"/>
      <c r="Y111"/>
      <c r="Z111"/>
      <c r="AA111"/>
      <c r="AB111"/>
      <c r="AC111"/>
      <c r="AD111"/>
      <c r="AE111"/>
      <c r="AF111"/>
      <c r="AG111"/>
      <c r="AH111"/>
      <c r="AI111"/>
      <c r="AJ111"/>
      <c r="AK111"/>
      <c r="AL111"/>
      <c r="AM111"/>
      <c r="AN111"/>
      <c r="AO111"/>
    </row>
    <row r="112" spans="1:41">
      <c r="A112"/>
      <c r="B112"/>
      <c r="C112"/>
      <c r="D112"/>
      <c r="E112"/>
      <c r="F112"/>
      <c r="G112"/>
      <c r="H112"/>
      <c r="I112"/>
      <c r="J112"/>
      <c r="K112"/>
      <c r="L112"/>
      <c r="M112"/>
      <c r="N112"/>
      <c r="O112"/>
      <c r="P112"/>
      <c r="Q112"/>
      <c r="R112"/>
      <c r="S112"/>
      <c r="T112"/>
      <c r="U112"/>
      <c r="V112"/>
      <c r="W112"/>
      <c r="X112"/>
      <c r="Y112"/>
      <c r="Z112"/>
      <c r="AA112"/>
      <c r="AB112"/>
      <c r="AC112"/>
      <c r="AD112"/>
      <c r="AE112"/>
      <c r="AF112"/>
      <c r="AG112"/>
      <c r="AH112"/>
      <c r="AI112"/>
      <c r="AJ112"/>
      <c r="AK112"/>
      <c r="AL112"/>
      <c r="AM112"/>
      <c r="AN112"/>
      <c r="AO112"/>
    </row>
    <row r="113" spans="1:41">
      <c r="A113"/>
      <c r="B113"/>
      <c r="C113"/>
      <c r="D113"/>
      <c r="E113"/>
      <c r="F113"/>
      <c r="G113"/>
      <c r="H113"/>
      <c r="I113"/>
      <c r="J113"/>
      <c r="K113"/>
      <c r="L113"/>
      <c r="M113"/>
      <c r="N113"/>
      <c r="O113"/>
      <c r="P113"/>
      <c r="Q113"/>
      <c r="R113"/>
      <c r="S113"/>
      <c r="T113"/>
      <c r="U113"/>
      <c r="V113"/>
      <c r="W113"/>
      <c r="X113"/>
      <c r="Y113"/>
      <c r="Z113"/>
      <c r="AA113"/>
      <c r="AB113"/>
      <c r="AC113"/>
      <c r="AD113"/>
      <c r="AE113"/>
      <c r="AF113"/>
      <c r="AG113"/>
      <c r="AH113"/>
      <c r="AI113"/>
      <c r="AJ113"/>
      <c r="AK113"/>
      <c r="AL113"/>
      <c r="AM113"/>
      <c r="AN113"/>
      <c r="AO113"/>
    </row>
    <row r="114" spans="1:41">
      <c r="A114"/>
      <c r="B114"/>
      <c r="C114"/>
      <c r="D114"/>
      <c r="E114"/>
      <c r="F114"/>
      <c r="G114"/>
      <c r="H114"/>
      <c r="I114"/>
      <c r="J114"/>
      <c r="K114"/>
      <c r="L114"/>
      <c r="M114"/>
      <c r="N114"/>
      <c r="O114"/>
      <c r="P114"/>
      <c r="Q114"/>
      <c r="R114"/>
      <c r="S114"/>
      <c r="T114"/>
      <c r="U114"/>
      <c r="V114"/>
      <c r="W114"/>
      <c r="X114"/>
      <c r="Y114"/>
      <c r="Z114"/>
      <c r="AA114"/>
      <c r="AB114"/>
      <c r="AC114"/>
      <c r="AD114"/>
      <c r="AE114"/>
      <c r="AF114"/>
      <c r="AG114"/>
      <c r="AH114"/>
      <c r="AI114"/>
      <c r="AJ114"/>
      <c r="AK114"/>
      <c r="AL114"/>
      <c r="AM114"/>
      <c r="AN114"/>
      <c r="AO114"/>
    </row>
    <row r="115" spans="1:41">
      <c r="A115"/>
      <c r="B115"/>
      <c r="C115"/>
      <c r="D115"/>
      <c r="E115"/>
      <c r="F115"/>
      <c r="G115"/>
      <c r="H115"/>
      <c r="I115"/>
      <c r="J115"/>
      <c r="K115"/>
      <c r="L115"/>
      <c r="M115"/>
      <c r="N115"/>
      <c r="O115"/>
      <c r="P115"/>
      <c r="Q115"/>
      <c r="R115"/>
      <c r="S115"/>
      <c r="T115"/>
      <c r="U115"/>
      <c r="V115"/>
      <c r="W115"/>
      <c r="X115"/>
      <c r="Y115"/>
      <c r="Z115"/>
      <c r="AA115"/>
      <c r="AB115"/>
      <c r="AC115"/>
      <c r="AD115"/>
      <c r="AE115"/>
      <c r="AF115"/>
      <c r="AG115"/>
      <c r="AH115"/>
      <c r="AI115"/>
      <c r="AJ115"/>
      <c r="AK115"/>
      <c r="AL115"/>
      <c r="AM115"/>
      <c r="AN115"/>
      <c r="AO115"/>
    </row>
    <row r="116" spans="1:41">
      <c r="A116"/>
      <c r="B116"/>
      <c r="C116"/>
      <c r="D116"/>
      <c r="E116"/>
      <c r="F116"/>
      <c r="G116"/>
      <c r="H116"/>
      <c r="I116"/>
      <c r="J116"/>
      <c r="K116"/>
      <c r="L116"/>
      <c r="M116"/>
      <c r="N116"/>
      <c r="O116"/>
      <c r="P116"/>
      <c r="Q116"/>
      <c r="R116"/>
      <c r="S116"/>
      <c r="T116"/>
      <c r="U116"/>
      <c r="V116"/>
      <c r="W116"/>
      <c r="X116"/>
      <c r="Y116"/>
      <c r="Z116"/>
      <c r="AA116"/>
      <c r="AB116"/>
      <c r="AC116"/>
      <c r="AD116"/>
      <c r="AE116"/>
      <c r="AF116"/>
      <c r="AG116"/>
      <c r="AH116"/>
      <c r="AI116"/>
      <c r="AJ116"/>
      <c r="AK116"/>
      <c r="AL116"/>
      <c r="AM116"/>
      <c r="AN116"/>
      <c r="AO116"/>
    </row>
    <row r="117" spans="1:41">
      <c r="A117"/>
      <c r="B117"/>
      <c r="C117"/>
      <c r="D117"/>
      <c r="E117"/>
      <c r="F117"/>
      <c r="G117"/>
      <c r="H117"/>
      <c r="I117"/>
      <c r="J117"/>
      <c r="K117"/>
      <c r="L117"/>
      <c r="M117"/>
      <c r="N117"/>
      <c r="O117"/>
      <c r="P117"/>
      <c r="Q117"/>
      <c r="R117"/>
      <c r="S117"/>
      <c r="T117"/>
      <c r="U117"/>
      <c r="V117"/>
      <c r="W117"/>
      <c r="X117"/>
      <c r="Y117"/>
      <c r="Z117"/>
      <c r="AA117"/>
      <c r="AB117"/>
      <c r="AC117"/>
      <c r="AD117"/>
      <c r="AE117"/>
      <c r="AF117"/>
      <c r="AG117"/>
      <c r="AH117"/>
      <c r="AI117"/>
      <c r="AJ117"/>
      <c r="AK117"/>
      <c r="AL117"/>
      <c r="AM117"/>
      <c r="AN117"/>
      <c r="AO117"/>
    </row>
    <row r="118" spans="1:41">
      <c r="A118"/>
      <c r="B118"/>
      <c r="C118"/>
      <c r="D118"/>
      <c r="E118"/>
      <c r="F118"/>
      <c r="G118"/>
      <c r="H118"/>
      <c r="I118"/>
      <c r="J118"/>
      <c r="K118"/>
      <c r="L118"/>
      <c r="M118"/>
      <c r="N118"/>
      <c r="O118"/>
      <c r="P118"/>
      <c r="Q118"/>
      <c r="R118"/>
      <c r="S118"/>
      <c r="T118"/>
      <c r="U118"/>
      <c r="V118"/>
      <c r="W118"/>
      <c r="X118"/>
      <c r="Y118"/>
      <c r="Z118"/>
      <c r="AA118"/>
      <c r="AB118"/>
      <c r="AC118"/>
      <c r="AD118"/>
      <c r="AE118"/>
      <c r="AF118"/>
      <c r="AG118"/>
      <c r="AH118"/>
      <c r="AI118"/>
      <c r="AJ118"/>
      <c r="AK118"/>
      <c r="AL118"/>
      <c r="AM118"/>
      <c r="AN118"/>
      <c r="AO118"/>
    </row>
    <row r="119" spans="1:41">
      <c r="A119"/>
      <c r="B119"/>
      <c r="C119"/>
      <c r="D119"/>
      <c r="E119"/>
      <c r="F119"/>
      <c r="G119"/>
      <c r="H119"/>
      <c r="I119"/>
      <c r="J119"/>
      <c r="K119"/>
      <c r="L119"/>
      <c r="M119"/>
      <c r="N119"/>
      <c r="O119"/>
      <c r="P119"/>
      <c r="Q119"/>
      <c r="R119"/>
      <c r="S119"/>
      <c r="T119"/>
      <c r="U119"/>
      <c r="V119"/>
      <c r="W119"/>
      <c r="X119"/>
      <c r="Y119"/>
      <c r="Z119"/>
      <c r="AA119"/>
      <c r="AB119"/>
      <c r="AC119"/>
      <c r="AD119"/>
      <c r="AE119"/>
      <c r="AF119"/>
      <c r="AG119"/>
      <c r="AH119"/>
      <c r="AI119"/>
      <c r="AJ119"/>
      <c r="AK119"/>
      <c r="AL119"/>
      <c r="AM119"/>
      <c r="AN119"/>
      <c r="AO119"/>
    </row>
    <row r="120" spans="1:41">
      <c r="A120"/>
      <c r="B120"/>
      <c r="C120"/>
      <c r="D120"/>
      <c r="E120"/>
      <c r="F120"/>
      <c r="G120"/>
      <c r="H120"/>
      <c r="I120"/>
      <c r="J120"/>
      <c r="K120"/>
      <c r="L120"/>
      <c r="M120"/>
      <c r="N120"/>
      <c r="O120"/>
      <c r="P120"/>
      <c r="Q120"/>
      <c r="R120"/>
      <c r="S120"/>
      <c r="T120"/>
      <c r="U120"/>
      <c r="V120"/>
      <c r="W120"/>
      <c r="X120"/>
      <c r="Y120"/>
      <c r="Z120"/>
      <c r="AA120"/>
      <c r="AB120"/>
      <c r="AC120"/>
      <c r="AD120"/>
      <c r="AE120"/>
      <c r="AF120"/>
      <c r="AG120"/>
      <c r="AH120"/>
      <c r="AI120"/>
      <c r="AJ120"/>
      <c r="AK120"/>
      <c r="AL120"/>
      <c r="AM120"/>
      <c r="AN120"/>
    </row>
    <row r="121" spans="1:41">
      <c r="A121"/>
      <c r="B121"/>
      <c r="C121"/>
      <c r="D121"/>
      <c r="E121"/>
      <c r="F121"/>
      <c r="G121"/>
      <c r="H121"/>
      <c r="I121"/>
      <c r="J121"/>
      <c r="K121"/>
      <c r="L121"/>
      <c r="M121"/>
      <c r="N121"/>
      <c r="O121"/>
      <c r="P121"/>
      <c r="Q121"/>
      <c r="R121"/>
      <c r="S121"/>
      <c r="T121"/>
      <c r="U121"/>
      <c r="V121"/>
      <c r="W121"/>
      <c r="X121"/>
      <c r="Y121"/>
      <c r="Z121"/>
      <c r="AA121"/>
      <c r="AB121"/>
      <c r="AC121"/>
      <c r="AD121"/>
      <c r="AE121"/>
      <c r="AF121"/>
      <c r="AG121"/>
      <c r="AH121"/>
      <c r="AI121"/>
      <c r="AJ121"/>
      <c r="AK121"/>
      <c r="AL121"/>
      <c r="AM121"/>
      <c r="AN121"/>
    </row>
    <row r="122" spans="1:41">
      <c r="A122"/>
      <c r="B122"/>
      <c r="C122"/>
      <c r="D122"/>
      <c r="E122"/>
      <c r="F122"/>
      <c r="G122"/>
      <c r="H122"/>
      <c r="I122"/>
      <c r="J122"/>
      <c r="K122"/>
      <c r="L122"/>
      <c r="M122"/>
      <c r="N122"/>
      <c r="O122"/>
      <c r="P122"/>
      <c r="Q122"/>
      <c r="R122"/>
      <c r="S122"/>
      <c r="T122"/>
      <c r="U122"/>
      <c r="V122"/>
      <c r="W122"/>
      <c r="X122"/>
      <c r="Y122"/>
      <c r="Z122"/>
      <c r="AA122"/>
      <c r="AB122"/>
      <c r="AC122"/>
      <c r="AD122"/>
      <c r="AE122"/>
      <c r="AF122"/>
      <c r="AG122"/>
      <c r="AH122"/>
      <c r="AI122"/>
      <c r="AJ122"/>
      <c r="AK122"/>
      <c r="AL122"/>
      <c r="AM122"/>
      <c r="AN122"/>
    </row>
    <row r="123" spans="1:41">
      <c r="A123"/>
      <c r="B123"/>
      <c r="C123"/>
      <c r="D123"/>
      <c r="E123"/>
      <c r="F123"/>
      <c r="G123"/>
      <c r="H123"/>
      <c r="I123"/>
      <c r="J123"/>
      <c r="K123"/>
      <c r="L123"/>
      <c r="M123"/>
      <c r="N123"/>
      <c r="O123"/>
      <c r="P123"/>
      <c r="Q123"/>
      <c r="R123"/>
      <c r="S123"/>
      <c r="T123"/>
      <c r="U123"/>
      <c r="V123"/>
      <c r="W123"/>
      <c r="X123"/>
      <c r="Y123"/>
      <c r="Z123"/>
      <c r="AA123"/>
      <c r="AB123"/>
      <c r="AC123"/>
      <c r="AD123"/>
      <c r="AE123"/>
      <c r="AF123"/>
      <c r="AG123"/>
      <c r="AH123"/>
      <c r="AI123"/>
      <c r="AJ123"/>
      <c r="AK123"/>
      <c r="AL123"/>
      <c r="AM123"/>
      <c r="AN123"/>
    </row>
    <row r="124" spans="1:41">
      <c r="A124"/>
      <c r="B124"/>
      <c r="C124"/>
      <c r="D124"/>
      <c r="E124"/>
      <c r="F124"/>
      <c r="G124"/>
      <c r="H124"/>
      <c r="I124"/>
      <c r="J124"/>
      <c r="K124"/>
      <c r="L124"/>
      <c r="M124"/>
      <c r="N124"/>
      <c r="O124"/>
      <c r="P124"/>
      <c r="Q124"/>
      <c r="R124"/>
      <c r="S124"/>
      <c r="T124"/>
      <c r="U124"/>
      <c r="V124"/>
      <c r="W124"/>
      <c r="X124"/>
      <c r="Y124"/>
      <c r="Z124"/>
      <c r="AA124"/>
      <c r="AB124"/>
      <c r="AC124"/>
      <c r="AD124"/>
      <c r="AE124"/>
      <c r="AF124"/>
      <c r="AG124"/>
      <c r="AH124"/>
      <c r="AI124"/>
      <c r="AJ124"/>
      <c r="AK124"/>
      <c r="AL124"/>
      <c r="AM124"/>
      <c r="AN124"/>
    </row>
    <row r="125" spans="1:41">
      <c r="A125"/>
      <c r="B125"/>
      <c r="C125"/>
      <c r="D125"/>
      <c r="E125"/>
      <c r="F125"/>
      <c r="G125"/>
      <c r="H125"/>
      <c r="I125"/>
      <c r="J125"/>
      <c r="K125"/>
      <c r="L125"/>
      <c r="M125"/>
      <c r="N125"/>
      <c r="O125"/>
      <c r="P125"/>
      <c r="Q125"/>
      <c r="R125"/>
      <c r="S125"/>
      <c r="T125"/>
      <c r="U125"/>
      <c r="V125"/>
      <c r="W125"/>
      <c r="X125"/>
      <c r="Y125"/>
      <c r="Z125"/>
      <c r="AA125"/>
      <c r="AB125"/>
      <c r="AC125"/>
      <c r="AD125"/>
      <c r="AE125"/>
      <c r="AF125"/>
      <c r="AG125"/>
      <c r="AH125"/>
      <c r="AI125"/>
      <c r="AJ125"/>
      <c r="AK125"/>
      <c r="AL125"/>
      <c r="AM125"/>
      <c r="AN125"/>
    </row>
    <row r="126" spans="1:41">
      <c r="A126"/>
      <c r="B126"/>
      <c r="C126"/>
      <c r="D126"/>
      <c r="E126"/>
      <c r="F126"/>
      <c r="G126"/>
      <c r="H126"/>
      <c r="I126"/>
      <c r="J126"/>
      <c r="K126"/>
      <c r="L126"/>
      <c r="M126"/>
      <c r="N126"/>
      <c r="O126"/>
      <c r="P126"/>
      <c r="Q126"/>
      <c r="R126"/>
      <c r="S126"/>
      <c r="T126"/>
      <c r="U126"/>
      <c r="V126"/>
      <c r="W126"/>
      <c r="X126"/>
      <c r="Y126"/>
      <c r="Z126"/>
      <c r="AA126"/>
      <c r="AB126"/>
      <c r="AC126"/>
      <c r="AD126"/>
      <c r="AE126"/>
      <c r="AF126"/>
      <c r="AG126"/>
      <c r="AH126"/>
      <c r="AI126"/>
      <c r="AJ126"/>
      <c r="AK126"/>
      <c r="AL126"/>
      <c r="AM126"/>
      <c r="AN126"/>
    </row>
    <row r="127" spans="1:41">
      <c r="A127"/>
      <c r="B127"/>
      <c r="C127"/>
      <c r="D127"/>
      <c r="E127"/>
      <c r="F127"/>
      <c r="G127"/>
      <c r="H127"/>
      <c r="I127"/>
      <c r="J127"/>
      <c r="K127"/>
      <c r="L127"/>
      <c r="M127"/>
      <c r="N127"/>
      <c r="O127"/>
      <c r="P127"/>
      <c r="Q127"/>
      <c r="R127"/>
      <c r="S127"/>
      <c r="T127"/>
      <c r="U127"/>
      <c r="V127"/>
      <c r="W127"/>
      <c r="X127"/>
      <c r="Y127"/>
      <c r="Z127"/>
      <c r="AA127"/>
      <c r="AB127"/>
      <c r="AC127"/>
      <c r="AD127"/>
      <c r="AE127"/>
      <c r="AF127"/>
      <c r="AG127"/>
      <c r="AH127"/>
      <c r="AI127"/>
      <c r="AJ127"/>
      <c r="AK127"/>
      <c r="AL127"/>
      <c r="AM127"/>
      <c r="AN127"/>
    </row>
    <row r="128" spans="1:41">
      <c r="A128"/>
      <c r="B128"/>
      <c r="C128"/>
      <c r="D128"/>
      <c r="E128"/>
      <c r="F128"/>
      <c r="G128"/>
      <c r="H128"/>
      <c r="I128"/>
      <c r="J128"/>
      <c r="K128"/>
      <c r="L128"/>
      <c r="M128"/>
      <c r="N128"/>
      <c r="O128"/>
      <c r="P128"/>
      <c r="Q128"/>
      <c r="R128"/>
      <c r="S128"/>
      <c r="T128"/>
      <c r="U128"/>
      <c r="V128"/>
      <c r="W128"/>
      <c r="X128"/>
      <c r="Y128"/>
      <c r="Z128"/>
      <c r="AA128"/>
      <c r="AB128"/>
      <c r="AC128"/>
      <c r="AD128"/>
      <c r="AE128"/>
      <c r="AF128"/>
      <c r="AG128"/>
      <c r="AH128"/>
      <c r="AI128"/>
      <c r="AJ128"/>
      <c r="AK128"/>
      <c r="AL128"/>
      <c r="AM128"/>
      <c r="AN128"/>
    </row>
    <row r="129" spans="1:40">
      <c r="A129"/>
      <c r="B129"/>
      <c r="C129"/>
      <c r="D129"/>
      <c r="E129"/>
      <c r="F129"/>
      <c r="G129"/>
      <c r="H129"/>
      <c r="I129"/>
      <c r="J129"/>
      <c r="K129"/>
      <c r="L129"/>
      <c r="M129"/>
      <c r="N129"/>
      <c r="O129"/>
      <c r="P129"/>
      <c r="Q129"/>
      <c r="R129"/>
      <c r="S129"/>
      <c r="T129"/>
      <c r="U129"/>
      <c r="V129"/>
      <c r="W129"/>
      <c r="X129"/>
      <c r="Y129"/>
      <c r="Z129"/>
      <c r="AA129"/>
      <c r="AB129"/>
      <c r="AC129"/>
      <c r="AD129"/>
      <c r="AE129"/>
      <c r="AF129"/>
      <c r="AG129"/>
      <c r="AH129"/>
      <c r="AI129"/>
      <c r="AJ129"/>
      <c r="AK129"/>
      <c r="AL129"/>
      <c r="AM129"/>
      <c r="AN129"/>
    </row>
    <row r="130" spans="1:40">
      <c r="A130"/>
      <c r="B130"/>
      <c r="C130"/>
      <c r="D130"/>
      <c r="E130"/>
      <c r="F130"/>
      <c r="G130"/>
      <c r="H130"/>
      <c r="I130"/>
      <c r="J130"/>
      <c r="K130"/>
      <c r="L130"/>
      <c r="M130"/>
      <c r="N130"/>
      <c r="O130"/>
      <c r="P130"/>
      <c r="Q130"/>
      <c r="R130"/>
      <c r="S130"/>
      <c r="T130"/>
      <c r="U130"/>
      <c r="V130"/>
      <c r="W130"/>
      <c r="X130"/>
      <c r="Y130"/>
      <c r="Z130"/>
      <c r="AA130"/>
      <c r="AB130"/>
      <c r="AC130"/>
      <c r="AD130"/>
      <c r="AE130"/>
      <c r="AF130"/>
      <c r="AG130"/>
      <c r="AH130"/>
      <c r="AI130"/>
      <c r="AJ130"/>
      <c r="AK130"/>
      <c r="AL130"/>
      <c r="AM130"/>
      <c r="AN130"/>
    </row>
    <row r="131" spans="1:40">
      <c r="A131"/>
      <c r="B131"/>
      <c r="C131"/>
      <c r="D131"/>
      <c r="E131"/>
      <c r="F131"/>
      <c r="G131"/>
      <c r="H131"/>
      <c r="I131"/>
      <c r="J131"/>
      <c r="K131"/>
      <c r="L131"/>
      <c r="M131"/>
      <c r="N131"/>
      <c r="O131"/>
      <c r="P131"/>
      <c r="Q131"/>
      <c r="R131"/>
      <c r="S131"/>
      <c r="T131"/>
      <c r="U131"/>
      <c r="V131"/>
      <c r="W131"/>
      <c r="X131"/>
      <c r="Y131"/>
      <c r="Z131"/>
      <c r="AA131"/>
      <c r="AB131"/>
      <c r="AC131"/>
      <c r="AD131"/>
      <c r="AE131"/>
      <c r="AF131"/>
      <c r="AG131"/>
      <c r="AH131"/>
      <c r="AI131"/>
      <c r="AJ131"/>
      <c r="AK131"/>
      <c r="AL131"/>
      <c r="AM131"/>
      <c r="AN131"/>
    </row>
    <row r="132" spans="1:40">
      <c r="A132"/>
      <c r="B132"/>
      <c r="C132"/>
      <c r="D132"/>
      <c r="E132"/>
      <c r="F132"/>
      <c r="G132"/>
      <c r="H132"/>
      <c r="I132"/>
      <c r="J132"/>
      <c r="K132"/>
      <c r="L132"/>
      <c r="M132"/>
      <c r="N132"/>
      <c r="O132"/>
      <c r="P132"/>
      <c r="Q132"/>
      <c r="R132"/>
      <c r="S132"/>
      <c r="T132"/>
      <c r="U132"/>
      <c r="V132"/>
      <c r="W132"/>
      <c r="X132"/>
      <c r="Y132"/>
      <c r="Z132"/>
      <c r="AA132"/>
      <c r="AB132"/>
      <c r="AC132"/>
      <c r="AD132"/>
      <c r="AE132"/>
      <c r="AF132"/>
      <c r="AG132"/>
      <c r="AH132"/>
      <c r="AI132"/>
      <c r="AJ132"/>
      <c r="AK132"/>
      <c r="AL132"/>
      <c r="AM132"/>
      <c r="AN132"/>
    </row>
    <row r="133" spans="1:40">
      <c r="A133"/>
      <c r="B133"/>
      <c r="C133"/>
      <c r="D133"/>
      <c r="E133"/>
      <c r="F133"/>
      <c r="G133"/>
      <c r="H133"/>
      <c r="I133"/>
      <c r="J133"/>
      <c r="K133"/>
      <c r="L133"/>
      <c r="M133"/>
      <c r="N133"/>
      <c r="O133"/>
      <c r="P133"/>
      <c r="Q133"/>
      <c r="R133"/>
      <c r="S133"/>
      <c r="T133"/>
      <c r="U133"/>
      <c r="V133"/>
      <c r="W133"/>
      <c r="X133"/>
      <c r="Y133"/>
      <c r="Z133"/>
      <c r="AA133"/>
      <c r="AB133"/>
      <c r="AC133"/>
      <c r="AD133"/>
      <c r="AE133"/>
      <c r="AF133"/>
      <c r="AG133"/>
      <c r="AH133"/>
      <c r="AI133"/>
      <c r="AJ133"/>
      <c r="AK133"/>
      <c r="AL133"/>
      <c r="AM133"/>
      <c r="AN133"/>
    </row>
    <row r="134" spans="1:40">
      <c r="A134"/>
      <c r="B134"/>
      <c r="C134"/>
      <c r="D134"/>
      <c r="E134"/>
      <c r="F134"/>
      <c r="G134"/>
      <c r="H134"/>
      <c r="I134"/>
      <c r="J134"/>
      <c r="K134"/>
      <c r="L134"/>
      <c r="M134"/>
      <c r="N134"/>
      <c r="O134"/>
      <c r="P134"/>
      <c r="Q134"/>
      <c r="R134"/>
      <c r="S134"/>
      <c r="T134"/>
      <c r="U134"/>
      <c r="V134"/>
      <c r="W134"/>
      <c r="X134"/>
      <c r="Y134"/>
      <c r="Z134"/>
      <c r="AA134"/>
      <c r="AB134"/>
      <c r="AC134"/>
      <c r="AD134"/>
      <c r="AE134"/>
      <c r="AF134"/>
      <c r="AG134"/>
      <c r="AH134"/>
      <c r="AI134"/>
      <c r="AJ134"/>
      <c r="AK134"/>
      <c r="AL134"/>
      <c r="AM134"/>
      <c r="AN134"/>
    </row>
    <row r="135" spans="1:40">
      <c r="A135"/>
      <c r="B135"/>
      <c r="C135"/>
      <c r="D135"/>
      <c r="E135"/>
      <c r="F135"/>
      <c r="G135"/>
      <c r="H135"/>
      <c r="I135"/>
      <c r="J135"/>
      <c r="K135"/>
      <c r="L135"/>
      <c r="M135"/>
      <c r="N135"/>
      <c r="O135"/>
      <c r="P135"/>
      <c r="Q135"/>
      <c r="R135"/>
      <c r="S135"/>
      <c r="T135"/>
      <c r="U135"/>
      <c r="V135"/>
      <c r="W135"/>
      <c r="X135"/>
      <c r="Y135"/>
      <c r="Z135"/>
      <c r="AA135"/>
      <c r="AB135"/>
      <c r="AC135"/>
      <c r="AD135"/>
      <c r="AE135"/>
      <c r="AF135"/>
      <c r="AG135"/>
      <c r="AH135"/>
      <c r="AI135"/>
      <c r="AJ135"/>
      <c r="AK135"/>
      <c r="AL135"/>
      <c r="AM135"/>
      <c r="AN135"/>
    </row>
    <row r="136" spans="1:40">
      <c r="A136"/>
      <c r="B136"/>
      <c r="C136"/>
      <c r="D136"/>
      <c r="E136"/>
      <c r="F136"/>
      <c r="G136"/>
      <c r="H136"/>
      <c r="I136"/>
      <c r="J136"/>
      <c r="K136"/>
      <c r="L136"/>
      <c r="M136"/>
      <c r="N136"/>
      <c r="O136"/>
      <c r="P136"/>
      <c r="Q136"/>
      <c r="R136"/>
      <c r="S136"/>
      <c r="T136"/>
      <c r="U136"/>
      <c r="V136"/>
      <c r="W136"/>
      <c r="X136"/>
      <c r="Y136"/>
      <c r="Z136"/>
      <c r="AA136"/>
      <c r="AB136"/>
      <c r="AC136"/>
      <c r="AD136"/>
      <c r="AE136"/>
      <c r="AF136"/>
      <c r="AG136"/>
      <c r="AH136"/>
      <c r="AI136"/>
      <c r="AJ136"/>
      <c r="AK136"/>
      <c r="AL136"/>
      <c r="AM136"/>
      <c r="AN136"/>
    </row>
    <row r="137" spans="1:40">
      <c r="A137"/>
      <c r="B137"/>
      <c r="C137"/>
      <c r="D137"/>
      <c r="E137"/>
      <c r="F137"/>
      <c r="G137"/>
      <c r="H137"/>
      <c r="I137"/>
      <c r="J137"/>
      <c r="K137"/>
      <c r="L137"/>
      <c r="M137"/>
      <c r="N137"/>
      <c r="O137"/>
      <c r="P137"/>
      <c r="Q137"/>
      <c r="R137"/>
      <c r="S137"/>
      <c r="T137"/>
      <c r="U137"/>
      <c r="V137"/>
      <c r="W137"/>
      <c r="X137"/>
      <c r="Y137"/>
      <c r="Z137"/>
      <c r="AA137"/>
      <c r="AB137"/>
      <c r="AC137"/>
      <c r="AD137"/>
      <c r="AE137"/>
      <c r="AF137"/>
      <c r="AG137"/>
      <c r="AH137"/>
      <c r="AI137"/>
      <c r="AJ137"/>
      <c r="AK137"/>
      <c r="AL137"/>
      <c r="AM137"/>
      <c r="AN137"/>
    </row>
    <row r="138" spans="1:40">
      <c r="A138"/>
      <c r="B138"/>
      <c r="C138"/>
      <c r="D138"/>
      <c r="E138"/>
      <c r="F138"/>
      <c r="G138"/>
      <c r="H138"/>
      <c r="I138"/>
      <c r="J138"/>
      <c r="K138"/>
      <c r="L138"/>
      <c r="M138"/>
      <c r="N138"/>
      <c r="O138"/>
      <c r="P138"/>
      <c r="Q138"/>
      <c r="R138"/>
      <c r="S138"/>
      <c r="T138"/>
      <c r="U138"/>
      <c r="V138"/>
      <c r="W138"/>
      <c r="X138"/>
      <c r="Y138"/>
      <c r="Z138"/>
      <c r="AA138"/>
      <c r="AB138"/>
      <c r="AC138"/>
      <c r="AD138"/>
      <c r="AE138"/>
      <c r="AF138"/>
      <c r="AG138"/>
      <c r="AH138"/>
      <c r="AI138"/>
      <c r="AJ138"/>
      <c r="AK138"/>
      <c r="AL138"/>
      <c r="AM138"/>
      <c r="AN138"/>
    </row>
    <row r="139" spans="1:40">
      <c r="A139"/>
      <c r="B139"/>
      <c r="C139"/>
      <c r="D139"/>
      <c r="E139"/>
      <c r="F139"/>
      <c r="G139"/>
      <c r="H139"/>
      <c r="I139"/>
      <c r="J139"/>
      <c r="K139"/>
      <c r="L139"/>
      <c r="M139"/>
      <c r="N139"/>
      <c r="O139"/>
      <c r="P139"/>
      <c r="Q139"/>
      <c r="R139"/>
      <c r="S139"/>
      <c r="T139"/>
      <c r="U139"/>
      <c r="V139"/>
      <c r="W139"/>
      <c r="X139"/>
      <c r="Y139"/>
      <c r="Z139"/>
      <c r="AA139"/>
      <c r="AB139"/>
      <c r="AC139"/>
      <c r="AD139"/>
      <c r="AE139"/>
      <c r="AF139"/>
      <c r="AG139"/>
      <c r="AH139"/>
      <c r="AI139"/>
      <c r="AJ139"/>
      <c r="AK139"/>
      <c r="AL139"/>
      <c r="AM139"/>
      <c r="AN139"/>
    </row>
    <row r="140" spans="1:40">
      <c r="A140"/>
      <c r="B140"/>
      <c r="C140"/>
      <c r="D140"/>
      <c r="E140"/>
      <c r="F140"/>
      <c r="G140"/>
      <c r="H140"/>
      <c r="I140"/>
      <c r="J140"/>
      <c r="K140"/>
      <c r="L140"/>
      <c r="M140"/>
      <c r="N140"/>
      <c r="O140"/>
      <c r="P140"/>
      <c r="Q140"/>
      <c r="R140"/>
      <c r="S140"/>
      <c r="T140"/>
      <c r="U140"/>
      <c r="V140"/>
      <c r="W140"/>
      <c r="X140"/>
      <c r="Y140"/>
      <c r="Z140"/>
      <c r="AA140"/>
      <c r="AB140"/>
      <c r="AC140"/>
      <c r="AD140"/>
      <c r="AE140"/>
      <c r="AF140"/>
      <c r="AG140"/>
      <c r="AH140"/>
      <c r="AI140"/>
      <c r="AJ140"/>
      <c r="AK140"/>
      <c r="AL140"/>
      <c r="AM140"/>
      <c r="AN140"/>
    </row>
    <row r="141" spans="1:40">
      <c r="A141"/>
      <c r="B141"/>
      <c r="C141"/>
      <c r="D141"/>
      <c r="E141"/>
      <c r="F141"/>
      <c r="G141"/>
      <c r="H141"/>
      <c r="I141"/>
      <c r="J141"/>
      <c r="K141"/>
      <c r="L141"/>
      <c r="M141"/>
      <c r="N141"/>
      <c r="O141"/>
      <c r="P141"/>
      <c r="Q141"/>
      <c r="R141"/>
      <c r="S141"/>
      <c r="T141"/>
      <c r="U141"/>
      <c r="V141"/>
      <c r="W141"/>
      <c r="X141"/>
      <c r="Y141"/>
      <c r="Z141"/>
      <c r="AA141"/>
      <c r="AB141"/>
      <c r="AC141"/>
      <c r="AD141"/>
      <c r="AE141"/>
      <c r="AF141"/>
      <c r="AG141"/>
      <c r="AH141"/>
      <c r="AI141"/>
      <c r="AJ141"/>
      <c r="AK141"/>
      <c r="AL141"/>
      <c r="AM141"/>
      <c r="AN141"/>
    </row>
    <row r="142" spans="1:40">
      <c r="A142"/>
      <c r="B142"/>
      <c r="C142"/>
      <c r="D142"/>
      <c r="E142"/>
      <c r="F142"/>
      <c r="G142"/>
      <c r="H142"/>
      <c r="I142"/>
      <c r="J142"/>
      <c r="K142"/>
      <c r="L142"/>
      <c r="M142"/>
      <c r="N142"/>
      <c r="O142"/>
      <c r="P142"/>
      <c r="Q142"/>
      <c r="R142"/>
      <c r="S142"/>
      <c r="T142"/>
      <c r="U142"/>
      <c r="V142"/>
      <c r="W142"/>
      <c r="X142"/>
      <c r="Y142"/>
      <c r="Z142"/>
      <c r="AA142"/>
      <c r="AB142"/>
      <c r="AC142"/>
      <c r="AD142"/>
      <c r="AE142"/>
      <c r="AF142"/>
      <c r="AG142"/>
      <c r="AH142"/>
      <c r="AI142"/>
      <c r="AJ142"/>
      <c r="AK142"/>
      <c r="AL142"/>
      <c r="AM142"/>
      <c r="AN142"/>
    </row>
    <row r="143" spans="1:40">
      <c r="A143"/>
      <c r="B143"/>
      <c r="C143"/>
      <c r="D143"/>
      <c r="E143"/>
      <c r="F143"/>
      <c r="G143"/>
      <c r="H143"/>
      <c r="I143"/>
      <c r="J143"/>
      <c r="K143"/>
      <c r="L143"/>
      <c r="M143"/>
      <c r="N143"/>
      <c r="O143"/>
      <c r="P143"/>
      <c r="Q143"/>
      <c r="R143"/>
      <c r="S143"/>
      <c r="T143"/>
      <c r="U143"/>
      <c r="V143"/>
      <c r="W143"/>
      <c r="X143"/>
      <c r="Y143"/>
      <c r="Z143"/>
      <c r="AA143"/>
      <c r="AB143"/>
      <c r="AC143"/>
      <c r="AD143"/>
      <c r="AE143"/>
      <c r="AF143"/>
      <c r="AG143"/>
      <c r="AH143"/>
      <c r="AI143"/>
      <c r="AJ143"/>
      <c r="AK143"/>
      <c r="AL143"/>
      <c r="AM143"/>
      <c r="AN143"/>
    </row>
    <row r="144" spans="1:40">
      <c r="A144"/>
      <c r="B144"/>
      <c r="C144"/>
      <c r="D144"/>
      <c r="E144"/>
      <c r="F144"/>
      <c r="G144"/>
      <c r="H144"/>
      <c r="I144"/>
      <c r="J144"/>
      <c r="K144"/>
      <c r="L144"/>
      <c r="M144"/>
      <c r="N144"/>
      <c r="O144"/>
      <c r="P144"/>
      <c r="Q144"/>
      <c r="R144"/>
      <c r="S144"/>
      <c r="T144"/>
      <c r="U144"/>
      <c r="V144"/>
      <c r="W144"/>
      <c r="X144"/>
      <c r="Y144"/>
      <c r="Z144"/>
      <c r="AA144"/>
      <c r="AB144"/>
      <c r="AC144"/>
      <c r="AD144"/>
      <c r="AE144"/>
      <c r="AF144"/>
      <c r="AG144"/>
      <c r="AH144"/>
      <c r="AI144"/>
      <c r="AJ144"/>
      <c r="AK144"/>
      <c r="AL144"/>
      <c r="AM144"/>
      <c r="AN144"/>
    </row>
    <row r="145" spans="1:40">
      <c r="A145"/>
      <c r="B145"/>
      <c r="C145"/>
      <c r="D145"/>
      <c r="E145"/>
      <c r="F145"/>
      <c r="G145"/>
      <c r="H145"/>
      <c r="I145"/>
      <c r="J145"/>
      <c r="K145"/>
      <c r="L145"/>
      <c r="M145"/>
      <c r="N145"/>
      <c r="O145"/>
      <c r="P145"/>
      <c r="Q145"/>
      <c r="R145"/>
      <c r="S145"/>
      <c r="T145"/>
      <c r="U145"/>
      <c r="V145"/>
      <c r="W145"/>
      <c r="X145"/>
      <c r="Y145"/>
      <c r="Z145"/>
      <c r="AA145"/>
      <c r="AB145"/>
      <c r="AC145"/>
      <c r="AD145"/>
      <c r="AE145"/>
      <c r="AF145"/>
      <c r="AG145"/>
      <c r="AH145"/>
      <c r="AI145"/>
      <c r="AJ145"/>
      <c r="AK145"/>
      <c r="AL145"/>
      <c r="AM145"/>
      <c r="AN145"/>
    </row>
    <row r="146" spans="1:40">
      <c r="A146"/>
      <c r="B146"/>
      <c r="C146"/>
      <c r="D146"/>
      <c r="E146"/>
      <c r="F146"/>
      <c r="G146"/>
      <c r="H146"/>
      <c r="I146"/>
      <c r="J146"/>
      <c r="K146"/>
      <c r="L146"/>
      <c r="M146"/>
      <c r="N146"/>
      <c r="O146"/>
      <c r="P146"/>
      <c r="Q146"/>
      <c r="R146"/>
      <c r="S146"/>
      <c r="T146"/>
      <c r="U146"/>
      <c r="V146"/>
      <c r="W146"/>
      <c r="X146"/>
      <c r="Y146"/>
      <c r="Z146"/>
      <c r="AA146"/>
      <c r="AB146"/>
      <c r="AC146"/>
      <c r="AD146"/>
      <c r="AE146"/>
      <c r="AF146"/>
      <c r="AG146"/>
      <c r="AH146"/>
      <c r="AI146"/>
      <c r="AJ146"/>
      <c r="AK146"/>
      <c r="AL146"/>
      <c r="AM146"/>
      <c r="AN146"/>
    </row>
    <row r="147" spans="1:40">
      <c r="A147"/>
      <c r="B147"/>
      <c r="C147"/>
      <c r="D147"/>
      <c r="E147"/>
      <c r="F147"/>
      <c r="G147"/>
      <c r="H147"/>
      <c r="I147"/>
      <c r="J147"/>
      <c r="K147"/>
      <c r="L147"/>
      <c r="M147"/>
      <c r="N147"/>
      <c r="O147"/>
      <c r="P147"/>
      <c r="Q147"/>
      <c r="R147"/>
      <c r="S147"/>
      <c r="T147"/>
      <c r="U147"/>
      <c r="V147"/>
      <c r="W147"/>
      <c r="X147"/>
      <c r="Y147"/>
      <c r="Z147"/>
      <c r="AA147"/>
      <c r="AB147"/>
      <c r="AC147"/>
      <c r="AD147"/>
      <c r="AE147"/>
      <c r="AF147"/>
      <c r="AG147"/>
      <c r="AH147"/>
      <c r="AI147"/>
      <c r="AJ147"/>
      <c r="AK147"/>
      <c r="AL147"/>
      <c r="AM147"/>
      <c r="AN147"/>
    </row>
    <row r="148" spans="1:40">
      <c r="A148"/>
      <c r="B148"/>
      <c r="C148"/>
      <c r="D148"/>
      <c r="E148"/>
      <c r="F148"/>
      <c r="G148"/>
      <c r="H148"/>
      <c r="I148"/>
      <c r="J148"/>
      <c r="K148"/>
      <c r="L148"/>
      <c r="M148"/>
      <c r="N148"/>
      <c r="O148"/>
      <c r="P148"/>
      <c r="Q148"/>
      <c r="R148"/>
      <c r="S148"/>
      <c r="T148"/>
      <c r="U148"/>
      <c r="V148"/>
      <c r="W148"/>
      <c r="X148"/>
      <c r="Y148"/>
      <c r="Z148"/>
      <c r="AA148"/>
      <c r="AB148"/>
      <c r="AC148"/>
      <c r="AD148"/>
      <c r="AE148"/>
      <c r="AF148"/>
      <c r="AG148"/>
      <c r="AH148"/>
      <c r="AI148"/>
      <c r="AJ148"/>
      <c r="AK148"/>
      <c r="AL148"/>
      <c r="AM148"/>
      <c r="AN148"/>
    </row>
    <row r="149" spans="1:40">
      <c r="A149"/>
      <c r="B149"/>
      <c r="C149"/>
      <c r="D149"/>
      <c r="E149"/>
      <c r="F149"/>
      <c r="G149"/>
      <c r="H149"/>
      <c r="I149"/>
      <c r="J149"/>
      <c r="K149"/>
      <c r="L149"/>
      <c r="M149"/>
      <c r="N149"/>
      <c r="O149"/>
      <c r="P149"/>
      <c r="Q149"/>
      <c r="R149"/>
      <c r="S149"/>
      <c r="T149"/>
      <c r="U149"/>
      <c r="V149"/>
      <c r="W149"/>
      <c r="X149"/>
      <c r="Y149"/>
      <c r="Z149"/>
      <c r="AA149"/>
      <c r="AB149"/>
      <c r="AC149"/>
      <c r="AD149"/>
      <c r="AE149"/>
      <c r="AF149"/>
      <c r="AG149"/>
      <c r="AH149"/>
      <c r="AI149"/>
      <c r="AJ149"/>
      <c r="AK149"/>
      <c r="AL149"/>
      <c r="AM149"/>
      <c r="AN149"/>
    </row>
    <row r="150" spans="1:40">
      <c r="A150"/>
      <c r="B150"/>
      <c r="C150"/>
      <c r="D150"/>
      <c r="E150"/>
      <c r="F150"/>
      <c r="G150"/>
      <c r="H150"/>
      <c r="I150"/>
      <c r="J150"/>
      <c r="K150"/>
      <c r="L150"/>
      <c r="M150"/>
      <c r="N150"/>
      <c r="O150"/>
      <c r="P150"/>
      <c r="Q150"/>
      <c r="R150"/>
      <c r="S150"/>
      <c r="T150"/>
      <c r="U150"/>
      <c r="V150"/>
      <c r="W150"/>
      <c r="X150"/>
      <c r="Y150"/>
      <c r="Z150"/>
      <c r="AA150"/>
      <c r="AB150"/>
      <c r="AC150"/>
      <c r="AD150"/>
      <c r="AE150"/>
      <c r="AF150"/>
      <c r="AG150"/>
      <c r="AH150"/>
      <c r="AI150"/>
      <c r="AJ150"/>
      <c r="AK150"/>
      <c r="AL150"/>
      <c r="AM150"/>
      <c r="AN150"/>
    </row>
    <row r="151" spans="1:40">
      <c r="A151"/>
      <c r="B151"/>
      <c r="C151"/>
      <c r="D151"/>
      <c r="E151"/>
      <c r="F151"/>
      <c r="G151"/>
      <c r="H151"/>
      <c r="I151"/>
      <c r="J151"/>
      <c r="K151"/>
      <c r="L151"/>
      <c r="M151"/>
      <c r="N151"/>
      <c r="O151"/>
      <c r="P151"/>
      <c r="Q151"/>
      <c r="R151"/>
      <c r="S151"/>
      <c r="T151"/>
      <c r="U151"/>
      <c r="V151"/>
      <c r="W151"/>
      <c r="X151"/>
      <c r="Y151"/>
      <c r="Z151"/>
      <c r="AA151"/>
      <c r="AB151"/>
      <c r="AC151"/>
      <c r="AD151"/>
      <c r="AE151"/>
      <c r="AF151"/>
      <c r="AG151"/>
      <c r="AH151"/>
      <c r="AI151"/>
      <c r="AJ151"/>
      <c r="AK151"/>
      <c r="AL151"/>
      <c r="AM151"/>
      <c r="AN151"/>
    </row>
    <row r="152" spans="1:40">
      <c r="A152"/>
      <c r="B152"/>
      <c r="C152"/>
      <c r="D152"/>
      <c r="E152"/>
      <c r="F152"/>
      <c r="G152"/>
      <c r="H152"/>
      <c r="I152"/>
      <c r="J152"/>
      <c r="K152"/>
      <c r="L152"/>
      <c r="M152"/>
      <c r="N152"/>
      <c r="O152"/>
      <c r="P152"/>
      <c r="Q152"/>
      <c r="R152"/>
      <c r="S152"/>
      <c r="T152"/>
      <c r="U152"/>
      <c r="V152"/>
      <c r="W152"/>
      <c r="X152"/>
      <c r="Y152"/>
      <c r="Z152"/>
      <c r="AA152"/>
      <c r="AB152"/>
      <c r="AC152"/>
      <c r="AD152"/>
      <c r="AE152"/>
      <c r="AF152"/>
      <c r="AG152"/>
      <c r="AH152"/>
      <c r="AI152"/>
      <c r="AJ152"/>
      <c r="AK152"/>
      <c r="AL152"/>
      <c r="AM152"/>
      <c r="AN152"/>
    </row>
    <row r="153" spans="1:40">
      <c r="A153"/>
      <c r="B153"/>
      <c r="C153"/>
      <c r="D153"/>
      <c r="E153"/>
      <c r="F153"/>
      <c r="G153"/>
      <c r="H153"/>
      <c r="I153"/>
      <c r="J153"/>
      <c r="K153"/>
      <c r="L153"/>
      <c r="M153"/>
      <c r="N153"/>
      <c r="O153"/>
      <c r="P153"/>
      <c r="Q153"/>
      <c r="R153"/>
      <c r="S153"/>
      <c r="T153"/>
      <c r="U153"/>
      <c r="V153"/>
      <c r="W153"/>
      <c r="X153"/>
      <c r="Y153"/>
      <c r="Z153"/>
      <c r="AA153"/>
      <c r="AB153"/>
      <c r="AC153"/>
      <c r="AD153"/>
      <c r="AE153"/>
      <c r="AF153"/>
      <c r="AG153"/>
      <c r="AH153"/>
      <c r="AI153"/>
      <c r="AJ153"/>
      <c r="AK153"/>
      <c r="AL153"/>
      <c r="AM153"/>
      <c r="AN153"/>
    </row>
    <row r="154" spans="1:40">
      <c r="A154"/>
      <c r="B154"/>
      <c r="C154"/>
      <c r="D154"/>
      <c r="E154"/>
      <c r="F154"/>
      <c r="G154"/>
      <c r="H154"/>
      <c r="I154"/>
      <c r="J154"/>
      <c r="K154"/>
      <c r="L154"/>
      <c r="M154"/>
      <c r="N154"/>
      <c r="O154"/>
      <c r="P154"/>
      <c r="Q154"/>
      <c r="R154"/>
      <c r="S154"/>
      <c r="T154"/>
      <c r="U154"/>
      <c r="V154"/>
      <c r="W154"/>
      <c r="X154"/>
      <c r="Y154"/>
      <c r="Z154"/>
      <c r="AA154"/>
      <c r="AB154"/>
      <c r="AC154"/>
      <c r="AD154"/>
      <c r="AE154"/>
      <c r="AF154"/>
      <c r="AG154"/>
      <c r="AH154"/>
      <c r="AI154"/>
      <c r="AJ154"/>
      <c r="AK154"/>
      <c r="AL154"/>
      <c r="AM154"/>
      <c r="AN154"/>
    </row>
    <row r="155" spans="1:40">
      <c r="A155"/>
      <c r="B155"/>
      <c r="C155"/>
      <c r="D155"/>
      <c r="E155"/>
      <c r="F155"/>
      <c r="G155"/>
      <c r="H155"/>
      <c r="I155"/>
      <c r="J155"/>
      <c r="K155"/>
      <c r="L155"/>
      <c r="M155"/>
      <c r="N155"/>
      <c r="O155"/>
      <c r="P155"/>
      <c r="Q155"/>
      <c r="R155"/>
      <c r="S155"/>
      <c r="T155"/>
      <c r="U155"/>
      <c r="V155"/>
      <c r="W155"/>
      <c r="X155"/>
      <c r="Y155"/>
      <c r="Z155"/>
      <c r="AA155"/>
      <c r="AB155"/>
      <c r="AC155"/>
      <c r="AD155"/>
      <c r="AE155"/>
      <c r="AF155"/>
      <c r="AG155"/>
      <c r="AH155"/>
      <c r="AI155"/>
      <c r="AJ155"/>
      <c r="AK155"/>
      <c r="AL155"/>
      <c r="AM155"/>
      <c r="AN155"/>
    </row>
    <row r="156" spans="1:40">
      <c r="A156"/>
      <c r="B156"/>
      <c r="C156"/>
      <c r="D156"/>
      <c r="E156"/>
      <c r="F156"/>
      <c r="G156"/>
      <c r="H156"/>
      <c r="I156"/>
      <c r="J156"/>
      <c r="K156"/>
      <c r="L156"/>
      <c r="M156"/>
      <c r="N156"/>
      <c r="O156"/>
      <c r="P156"/>
      <c r="Q156"/>
      <c r="R156"/>
      <c r="S156"/>
      <c r="T156"/>
      <c r="U156"/>
      <c r="V156"/>
      <c r="W156"/>
      <c r="X156"/>
      <c r="Y156"/>
      <c r="Z156"/>
      <c r="AA156"/>
      <c r="AB156"/>
      <c r="AC156"/>
      <c r="AD156"/>
      <c r="AE156"/>
      <c r="AF156"/>
      <c r="AG156"/>
      <c r="AH156"/>
      <c r="AI156"/>
      <c r="AJ156"/>
      <c r="AK156"/>
      <c r="AL156"/>
      <c r="AM156"/>
      <c r="AN156"/>
    </row>
    <row r="157" spans="1:40">
      <c r="A157"/>
      <c r="B157"/>
      <c r="C157"/>
      <c r="D157"/>
      <c r="E157"/>
      <c r="F157"/>
      <c r="G157"/>
      <c r="H157"/>
      <c r="I157"/>
      <c r="J157"/>
      <c r="K157"/>
      <c r="L157"/>
      <c r="M157"/>
      <c r="N157"/>
      <c r="O157"/>
      <c r="P157"/>
      <c r="Q157"/>
      <c r="R157"/>
      <c r="S157"/>
      <c r="T157"/>
      <c r="U157"/>
      <c r="V157"/>
      <c r="W157"/>
      <c r="X157"/>
      <c r="Y157"/>
      <c r="Z157"/>
      <c r="AA157"/>
      <c r="AB157"/>
      <c r="AC157"/>
      <c r="AD157"/>
      <c r="AE157"/>
      <c r="AF157"/>
      <c r="AG157"/>
      <c r="AH157"/>
      <c r="AI157"/>
      <c r="AJ157"/>
      <c r="AK157"/>
      <c r="AL157"/>
      <c r="AM157"/>
      <c r="AN157"/>
    </row>
    <row r="158" spans="1:40">
      <c r="A158"/>
      <c r="B158"/>
      <c r="C158"/>
      <c r="D158"/>
      <c r="E158"/>
      <c r="F158"/>
      <c r="G158"/>
      <c r="H158"/>
      <c r="I158"/>
      <c r="J158"/>
      <c r="K158"/>
      <c r="L158"/>
      <c r="M158"/>
      <c r="N158"/>
      <c r="O158"/>
      <c r="P158"/>
      <c r="Q158"/>
      <c r="R158"/>
      <c r="S158"/>
      <c r="T158"/>
      <c r="U158"/>
      <c r="V158"/>
      <c r="W158"/>
      <c r="X158"/>
      <c r="Y158"/>
      <c r="Z158"/>
      <c r="AA158"/>
      <c r="AB158"/>
      <c r="AC158"/>
      <c r="AD158"/>
      <c r="AE158"/>
      <c r="AF158"/>
      <c r="AG158"/>
      <c r="AH158"/>
      <c r="AI158"/>
      <c r="AJ158"/>
      <c r="AK158"/>
      <c r="AL158"/>
      <c r="AM158"/>
      <c r="AN158"/>
    </row>
    <row r="159" spans="1:40">
      <c r="B159"/>
      <c r="C159"/>
      <c r="D159"/>
      <c r="E159"/>
      <c r="F159"/>
      <c r="G159"/>
      <c r="H159"/>
      <c r="I159"/>
      <c r="J159"/>
      <c r="K159"/>
      <c r="L159"/>
      <c r="M159"/>
      <c r="N159"/>
      <c r="O159"/>
      <c r="P159"/>
      <c r="Q159"/>
      <c r="R159"/>
      <c r="S159"/>
      <c r="T159"/>
      <c r="U159"/>
      <c r="V159"/>
      <c r="W159"/>
      <c r="X159"/>
      <c r="Y159"/>
      <c r="Z159"/>
      <c r="AA159"/>
      <c r="AB159"/>
      <c r="AC159"/>
      <c r="AD159"/>
      <c r="AE159"/>
      <c r="AF159"/>
      <c r="AG159"/>
      <c r="AH159"/>
      <c r="AI159"/>
      <c r="AJ159"/>
      <c r="AK159"/>
      <c r="AL159"/>
      <c r="AM159"/>
      <c r="AN159"/>
    </row>
    <row r="160" spans="1:40">
      <c r="B160"/>
      <c r="C160"/>
      <c r="D160"/>
      <c r="E160"/>
      <c r="F160"/>
      <c r="G160"/>
      <c r="H160"/>
      <c r="I160"/>
      <c r="J160"/>
      <c r="K160"/>
      <c r="L160"/>
      <c r="M160"/>
      <c r="N160"/>
      <c r="O160"/>
      <c r="P160"/>
      <c r="Q160"/>
      <c r="R160"/>
      <c r="S160"/>
      <c r="T160"/>
      <c r="U160"/>
      <c r="V160"/>
      <c r="W160"/>
      <c r="X160"/>
      <c r="Y160"/>
      <c r="Z160"/>
      <c r="AA160"/>
      <c r="AB160"/>
      <c r="AC160"/>
      <c r="AD160"/>
      <c r="AE160"/>
      <c r="AF160"/>
      <c r="AG160"/>
      <c r="AH160"/>
      <c r="AI160"/>
      <c r="AJ160"/>
      <c r="AK160"/>
      <c r="AL160"/>
      <c r="AM160"/>
      <c r="AN160"/>
    </row>
    <row r="161" spans="2:40">
      <c r="B161"/>
      <c r="C161"/>
      <c r="D161"/>
      <c r="E161"/>
      <c r="F161"/>
      <c r="G161"/>
      <c r="H161"/>
      <c r="I161"/>
      <c r="J161"/>
      <c r="K161"/>
      <c r="L161"/>
      <c r="M161"/>
      <c r="N161"/>
      <c r="O161"/>
      <c r="P161"/>
      <c r="Q161"/>
      <c r="R161"/>
      <c r="S161"/>
      <c r="T161"/>
      <c r="U161"/>
      <c r="V161"/>
      <c r="W161"/>
      <c r="X161"/>
      <c r="Y161"/>
      <c r="Z161"/>
      <c r="AA161"/>
      <c r="AB161"/>
      <c r="AC161"/>
      <c r="AD161"/>
      <c r="AE161"/>
      <c r="AF161"/>
      <c r="AG161"/>
      <c r="AH161"/>
      <c r="AI161"/>
      <c r="AJ161"/>
      <c r="AK161"/>
      <c r="AL161"/>
      <c r="AM161"/>
      <c r="AN161"/>
    </row>
    <row r="162" spans="2:40">
      <c r="B162"/>
      <c r="C162"/>
      <c r="D162"/>
      <c r="E162"/>
      <c r="F162"/>
      <c r="G162"/>
      <c r="H162"/>
      <c r="I162"/>
      <c r="J162"/>
      <c r="K162"/>
      <c r="L162"/>
      <c r="M162"/>
      <c r="N162"/>
      <c r="O162"/>
      <c r="P162"/>
      <c r="Q162"/>
      <c r="R162"/>
      <c r="S162"/>
      <c r="T162"/>
      <c r="U162"/>
      <c r="V162"/>
      <c r="W162"/>
      <c r="X162"/>
      <c r="Y162"/>
      <c r="Z162"/>
      <c r="AA162"/>
      <c r="AB162"/>
      <c r="AC162"/>
      <c r="AD162"/>
      <c r="AE162"/>
      <c r="AF162"/>
      <c r="AG162"/>
      <c r="AH162"/>
      <c r="AI162"/>
      <c r="AJ162"/>
      <c r="AK162"/>
      <c r="AL162"/>
      <c r="AM162"/>
      <c r="AN162"/>
    </row>
    <row r="163" spans="2:40">
      <c r="B163"/>
      <c r="C163"/>
      <c r="D163"/>
      <c r="E163"/>
      <c r="F163"/>
      <c r="G163"/>
      <c r="H163"/>
      <c r="I163"/>
      <c r="J163"/>
      <c r="K163"/>
      <c r="L163"/>
      <c r="M163"/>
      <c r="N163"/>
      <c r="O163"/>
      <c r="P163"/>
      <c r="Q163"/>
      <c r="R163"/>
      <c r="S163"/>
      <c r="T163"/>
      <c r="U163"/>
      <c r="V163"/>
      <c r="W163"/>
      <c r="X163"/>
      <c r="Y163"/>
      <c r="Z163"/>
      <c r="AA163"/>
      <c r="AB163"/>
      <c r="AC163"/>
      <c r="AD163"/>
      <c r="AE163"/>
      <c r="AF163"/>
      <c r="AG163"/>
      <c r="AH163"/>
      <c r="AI163"/>
      <c r="AJ163"/>
      <c r="AK163"/>
      <c r="AL163"/>
      <c r="AM163"/>
      <c r="AN163"/>
    </row>
    <row r="164" spans="2:40">
      <c r="B164"/>
      <c r="C164"/>
      <c r="D164"/>
      <c r="E164"/>
      <c r="F164"/>
      <c r="G164"/>
      <c r="H164"/>
      <c r="I164"/>
      <c r="J164"/>
      <c r="K164"/>
      <c r="L164"/>
      <c r="M164"/>
      <c r="N164"/>
      <c r="O164"/>
      <c r="P164"/>
      <c r="Q164"/>
      <c r="R164"/>
      <c r="S164"/>
      <c r="T164"/>
      <c r="U164"/>
      <c r="V164"/>
      <c r="W164"/>
      <c r="X164"/>
      <c r="Y164"/>
      <c r="Z164"/>
      <c r="AA164"/>
      <c r="AB164"/>
      <c r="AC164"/>
      <c r="AD164"/>
      <c r="AE164"/>
      <c r="AF164"/>
      <c r="AG164"/>
      <c r="AH164"/>
      <c r="AI164"/>
      <c r="AJ164"/>
      <c r="AK164"/>
      <c r="AL164"/>
      <c r="AM164"/>
      <c r="AN164"/>
    </row>
    <row r="165" spans="2:40">
      <c r="B165"/>
      <c r="C165"/>
      <c r="D165"/>
      <c r="E165"/>
      <c r="F165"/>
      <c r="G165"/>
      <c r="H165"/>
      <c r="I165"/>
      <c r="J165"/>
      <c r="K165"/>
      <c r="L165"/>
      <c r="M165"/>
      <c r="N165"/>
      <c r="O165"/>
      <c r="P165"/>
      <c r="Q165"/>
      <c r="R165"/>
      <c r="S165"/>
      <c r="T165"/>
      <c r="U165"/>
      <c r="V165"/>
      <c r="W165"/>
      <c r="X165"/>
      <c r="Y165"/>
      <c r="Z165"/>
      <c r="AA165"/>
      <c r="AB165"/>
      <c r="AC165"/>
      <c r="AD165"/>
      <c r="AE165"/>
      <c r="AF165"/>
      <c r="AG165"/>
      <c r="AH165"/>
      <c r="AI165"/>
      <c r="AJ165"/>
      <c r="AK165"/>
      <c r="AL165"/>
      <c r="AM165"/>
      <c r="AN165"/>
    </row>
    <row r="166" spans="2:40">
      <c r="B166"/>
      <c r="C166"/>
      <c r="D166"/>
      <c r="E166"/>
      <c r="F166"/>
      <c r="G166"/>
      <c r="H166"/>
      <c r="I166"/>
      <c r="J166"/>
      <c r="K166"/>
      <c r="L166"/>
      <c r="M166"/>
      <c r="N166"/>
      <c r="O166"/>
      <c r="P166"/>
      <c r="Q166"/>
      <c r="R166"/>
      <c r="S166"/>
      <c r="T166"/>
      <c r="U166"/>
      <c r="V166"/>
      <c r="W166"/>
      <c r="X166"/>
      <c r="Y166"/>
      <c r="Z166"/>
      <c r="AA166"/>
      <c r="AB166"/>
      <c r="AC166"/>
      <c r="AD166"/>
      <c r="AE166"/>
      <c r="AF166"/>
      <c r="AG166"/>
      <c r="AH166"/>
      <c r="AI166"/>
      <c r="AJ166"/>
      <c r="AK166"/>
      <c r="AL166"/>
      <c r="AM166"/>
      <c r="AN166"/>
    </row>
    <row r="167" spans="2:40">
      <c r="B167"/>
      <c r="C167"/>
      <c r="D167"/>
      <c r="E167"/>
      <c r="F167"/>
      <c r="G167"/>
      <c r="H167"/>
      <c r="I167"/>
      <c r="J167"/>
      <c r="K167"/>
      <c r="L167"/>
      <c r="M167"/>
      <c r="N167"/>
      <c r="O167"/>
      <c r="P167"/>
      <c r="Q167"/>
      <c r="R167"/>
      <c r="S167"/>
      <c r="T167"/>
      <c r="U167"/>
      <c r="V167"/>
      <c r="W167"/>
      <c r="X167"/>
      <c r="Y167"/>
      <c r="Z167"/>
      <c r="AA167"/>
      <c r="AB167"/>
      <c r="AC167"/>
      <c r="AD167"/>
      <c r="AE167"/>
      <c r="AF167"/>
      <c r="AG167"/>
      <c r="AH167"/>
      <c r="AI167"/>
      <c r="AJ167"/>
      <c r="AK167"/>
      <c r="AL167"/>
      <c r="AM167"/>
      <c r="AN167"/>
    </row>
    <row r="168" spans="2:40">
      <c r="B168"/>
      <c r="C168"/>
      <c r="D168"/>
      <c r="E168"/>
      <c r="F168"/>
      <c r="G168"/>
      <c r="H168"/>
      <c r="I168"/>
      <c r="J168"/>
      <c r="K168"/>
      <c r="L168"/>
      <c r="M168"/>
      <c r="N168"/>
      <c r="O168"/>
      <c r="P168"/>
      <c r="Q168"/>
      <c r="R168"/>
      <c r="S168"/>
      <c r="T168"/>
      <c r="U168"/>
      <c r="V168"/>
      <c r="W168"/>
      <c r="X168"/>
      <c r="Y168"/>
      <c r="Z168"/>
      <c r="AA168"/>
      <c r="AB168"/>
      <c r="AC168"/>
      <c r="AD168"/>
      <c r="AE168"/>
      <c r="AF168"/>
      <c r="AG168"/>
      <c r="AH168"/>
      <c r="AI168"/>
      <c r="AJ168"/>
      <c r="AK168"/>
      <c r="AL168"/>
      <c r="AM168"/>
      <c r="AN168"/>
    </row>
    <row r="169" spans="2:40">
      <c r="B169"/>
      <c r="C169"/>
      <c r="D169"/>
      <c r="E169"/>
      <c r="F169"/>
      <c r="G169"/>
      <c r="H169"/>
      <c r="I169"/>
      <c r="J169"/>
      <c r="K169"/>
      <c r="L169"/>
      <c r="M169"/>
      <c r="N169"/>
      <c r="O169"/>
      <c r="P169"/>
      <c r="Q169"/>
      <c r="R169"/>
      <c r="S169"/>
      <c r="T169"/>
      <c r="U169"/>
      <c r="V169"/>
      <c r="W169"/>
      <c r="X169"/>
      <c r="Y169"/>
      <c r="Z169"/>
      <c r="AA169"/>
      <c r="AB169"/>
      <c r="AC169"/>
      <c r="AD169"/>
      <c r="AE169"/>
      <c r="AF169"/>
      <c r="AG169"/>
      <c r="AH169"/>
      <c r="AI169"/>
      <c r="AJ169"/>
      <c r="AK169"/>
      <c r="AL169"/>
      <c r="AM169"/>
      <c r="AN169"/>
    </row>
    <row r="170" spans="2:40">
      <c r="B170"/>
      <c r="C170"/>
      <c r="D170"/>
      <c r="E170"/>
      <c r="F170"/>
      <c r="G170"/>
      <c r="H170"/>
      <c r="I170"/>
      <c r="J170"/>
      <c r="K170"/>
      <c r="L170"/>
      <c r="M170"/>
      <c r="N170"/>
      <c r="O170"/>
      <c r="P170"/>
      <c r="Q170"/>
      <c r="R170"/>
      <c r="S170"/>
      <c r="T170"/>
      <c r="U170"/>
      <c r="V170"/>
      <c r="W170"/>
      <c r="X170"/>
      <c r="Y170"/>
      <c r="Z170"/>
      <c r="AA170"/>
      <c r="AB170"/>
      <c r="AC170"/>
      <c r="AD170"/>
      <c r="AE170"/>
      <c r="AF170"/>
      <c r="AG170"/>
      <c r="AH170"/>
      <c r="AI170"/>
      <c r="AJ170"/>
      <c r="AK170"/>
      <c r="AL170"/>
      <c r="AM170"/>
      <c r="AN170"/>
    </row>
    <row r="171" spans="2:40">
      <c r="B171"/>
      <c r="C171"/>
      <c r="D171"/>
      <c r="E171"/>
      <c r="F171"/>
      <c r="G171"/>
      <c r="H171"/>
      <c r="I171"/>
      <c r="J171"/>
      <c r="K171"/>
      <c r="L171"/>
      <c r="M171"/>
      <c r="N171"/>
      <c r="O171"/>
      <c r="P171"/>
      <c r="Q171"/>
      <c r="R171"/>
      <c r="S171"/>
      <c r="T171"/>
      <c r="U171"/>
      <c r="V171"/>
      <c r="W171"/>
      <c r="X171"/>
      <c r="Y171"/>
      <c r="Z171"/>
      <c r="AA171"/>
      <c r="AB171"/>
      <c r="AC171"/>
      <c r="AD171"/>
      <c r="AE171"/>
      <c r="AF171"/>
      <c r="AG171"/>
      <c r="AH171"/>
      <c r="AI171"/>
      <c r="AJ171"/>
      <c r="AK171"/>
      <c r="AL171"/>
      <c r="AM171"/>
      <c r="AN171"/>
    </row>
    <row r="172" spans="2:40">
      <c r="B172"/>
      <c r="C172"/>
      <c r="D172"/>
      <c r="E172"/>
      <c r="F172"/>
      <c r="G172"/>
      <c r="H172"/>
      <c r="I172"/>
      <c r="J172"/>
      <c r="K172"/>
      <c r="L172"/>
      <c r="M172"/>
      <c r="N172"/>
      <c r="O172"/>
      <c r="P172"/>
      <c r="Q172"/>
      <c r="R172"/>
      <c r="S172"/>
      <c r="T172"/>
      <c r="U172"/>
      <c r="V172"/>
      <c r="W172"/>
      <c r="X172"/>
      <c r="Y172"/>
      <c r="Z172"/>
      <c r="AA172"/>
      <c r="AB172"/>
      <c r="AC172"/>
      <c r="AD172"/>
      <c r="AE172"/>
      <c r="AF172"/>
      <c r="AG172"/>
      <c r="AH172"/>
      <c r="AI172"/>
      <c r="AJ172"/>
      <c r="AK172"/>
      <c r="AL172"/>
      <c r="AM172"/>
      <c r="AN172"/>
    </row>
    <row r="173" spans="2:40">
      <c r="B173"/>
      <c r="C173"/>
      <c r="D173"/>
      <c r="E173"/>
      <c r="F173"/>
      <c r="G173"/>
      <c r="H173"/>
      <c r="I173"/>
      <c r="J173"/>
      <c r="K173"/>
      <c r="L173"/>
      <c r="M173"/>
      <c r="N173"/>
      <c r="O173"/>
      <c r="P173"/>
      <c r="Q173"/>
      <c r="R173"/>
      <c r="S173"/>
      <c r="T173"/>
      <c r="U173"/>
      <c r="V173"/>
      <c r="W173"/>
      <c r="X173"/>
      <c r="Y173"/>
      <c r="Z173"/>
      <c r="AA173"/>
      <c r="AB173"/>
      <c r="AC173"/>
      <c r="AD173"/>
      <c r="AE173"/>
      <c r="AF173"/>
      <c r="AG173"/>
      <c r="AH173"/>
      <c r="AI173"/>
      <c r="AJ173"/>
      <c r="AK173"/>
      <c r="AL173"/>
      <c r="AM173"/>
      <c r="AN173"/>
    </row>
    <row r="174" spans="2:40">
      <c r="B174"/>
      <c r="C174"/>
      <c r="D174"/>
      <c r="E174"/>
      <c r="F174"/>
      <c r="G174"/>
      <c r="H174"/>
      <c r="I174"/>
      <c r="J174"/>
      <c r="K174"/>
      <c r="L174"/>
      <c r="M174"/>
      <c r="N174"/>
      <c r="O174"/>
      <c r="P174"/>
      <c r="Q174"/>
      <c r="R174"/>
      <c r="S174"/>
      <c r="T174"/>
      <c r="U174"/>
      <c r="V174"/>
      <c r="W174"/>
      <c r="X174"/>
      <c r="Y174"/>
      <c r="Z174"/>
      <c r="AA174"/>
      <c r="AB174"/>
      <c r="AC174"/>
      <c r="AD174"/>
      <c r="AE174"/>
      <c r="AF174"/>
      <c r="AG174"/>
      <c r="AH174"/>
      <c r="AI174"/>
      <c r="AJ174"/>
      <c r="AK174"/>
      <c r="AL174"/>
      <c r="AM174"/>
      <c r="AN174"/>
    </row>
    <row r="175" spans="2:40">
      <c r="B175"/>
      <c r="C175"/>
      <c r="D175"/>
      <c r="E175"/>
      <c r="F175"/>
      <c r="G175"/>
      <c r="H175"/>
      <c r="I175"/>
      <c r="J175"/>
      <c r="K175"/>
      <c r="L175"/>
      <c r="M175"/>
      <c r="N175"/>
      <c r="O175"/>
      <c r="P175"/>
      <c r="Q175"/>
      <c r="R175"/>
      <c r="S175"/>
      <c r="T175"/>
      <c r="U175"/>
      <c r="V175"/>
      <c r="W175"/>
      <c r="X175"/>
      <c r="Y175"/>
      <c r="Z175"/>
      <c r="AA175"/>
      <c r="AB175"/>
      <c r="AC175"/>
      <c r="AD175"/>
      <c r="AE175"/>
      <c r="AF175"/>
      <c r="AG175"/>
      <c r="AH175"/>
      <c r="AI175"/>
      <c r="AJ175"/>
      <c r="AK175"/>
      <c r="AL175"/>
      <c r="AM175"/>
      <c r="AN175"/>
    </row>
    <row r="176" spans="2:40">
      <c r="B176"/>
      <c r="C176"/>
      <c r="D176"/>
      <c r="E176"/>
      <c r="F176"/>
      <c r="G176"/>
      <c r="H176"/>
      <c r="I176"/>
      <c r="J176"/>
      <c r="K176"/>
      <c r="L176"/>
      <c r="M176"/>
      <c r="N176"/>
      <c r="O176"/>
      <c r="P176"/>
      <c r="Q176"/>
      <c r="R176"/>
      <c r="S176"/>
      <c r="T176"/>
      <c r="U176"/>
      <c r="V176"/>
      <c r="W176"/>
      <c r="X176"/>
      <c r="Y176"/>
      <c r="Z176"/>
      <c r="AA176"/>
      <c r="AB176"/>
      <c r="AC176"/>
      <c r="AD176"/>
      <c r="AE176"/>
      <c r="AF176"/>
      <c r="AG176"/>
      <c r="AH176"/>
      <c r="AI176"/>
      <c r="AJ176"/>
      <c r="AK176"/>
      <c r="AL176"/>
      <c r="AM176"/>
      <c r="AN176"/>
    </row>
    <row r="177" spans="2:40">
      <c r="B177"/>
      <c r="C177"/>
      <c r="D177"/>
      <c r="E177"/>
      <c r="F177"/>
      <c r="G177"/>
      <c r="H177"/>
      <c r="I177"/>
      <c r="J177"/>
      <c r="K177"/>
      <c r="L177"/>
      <c r="M177"/>
      <c r="N177"/>
      <c r="O177"/>
      <c r="P177"/>
      <c r="Q177"/>
      <c r="R177"/>
      <c r="S177"/>
      <c r="T177"/>
      <c r="U177"/>
      <c r="V177"/>
      <c r="W177"/>
      <c r="X177"/>
      <c r="Y177"/>
      <c r="Z177"/>
      <c r="AA177"/>
      <c r="AB177"/>
      <c r="AC177"/>
      <c r="AD177"/>
      <c r="AE177"/>
      <c r="AF177"/>
      <c r="AG177"/>
      <c r="AH177"/>
      <c r="AI177"/>
      <c r="AJ177"/>
      <c r="AK177"/>
      <c r="AL177"/>
      <c r="AM177"/>
      <c r="AN177"/>
    </row>
    <row r="178" spans="2:40">
      <c r="B178"/>
      <c r="C178"/>
      <c r="D178"/>
      <c r="E178"/>
      <c r="F178"/>
      <c r="G178"/>
      <c r="H178"/>
      <c r="I178"/>
      <c r="J178"/>
      <c r="K178"/>
      <c r="L178"/>
      <c r="M178"/>
      <c r="N178"/>
      <c r="O178"/>
      <c r="P178"/>
      <c r="Q178"/>
      <c r="R178"/>
      <c r="S178"/>
      <c r="T178"/>
      <c r="U178"/>
      <c r="V178"/>
      <c r="W178"/>
      <c r="X178"/>
      <c r="Y178"/>
      <c r="Z178"/>
      <c r="AA178"/>
      <c r="AB178"/>
      <c r="AC178"/>
      <c r="AD178"/>
      <c r="AE178"/>
      <c r="AF178"/>
      <c r="AG178"/>
      <c r="AH178"/>
      <c r="AI178"/>
      <c r="AJ178"/>
      <c r="AK178"/>
      <c r="AL178"/>
      <c r="AM178"/>
      <c r="AN178"/>
    </row>
    <row r="179" spans="2:40">
      <c r="B179"/>
      <c r="C179"/>
      <c r="D179"/>
      <c r="E179"/>
      <c r="F179"/>
      <c r="G179"/>
      <c r="H179"/>
      <c r="I179"/>
      <c r="J179"/>
      <c r="K179"/>
      <c r="L179"/>
      <c r="M179"/>
      <c r="N179"/>
      <c r="O179"/>
      <c r="P179"/>
      <c r="Q179"/>
      <c r="R179"/>
      <c r="S179"/>
      <c r="T179"/>
      <c r="U179"/>
      <c r="V179"/>
      <c r="W179"/>
      <c r="X179"/>
      <c r="Y179"/>
      <c r="Z179"/>
      <c r="AA179"/>
      <c r="AB179"/>
      <c r="AC179"/>
      <c r="AD179"/>
      <c r="AE179"/>
      <c r="AF179"/>
      <c r="AG179"/>
      <c r="AH179"/>
      <c r="AI179"/>
      <c r="AJ179"/>
      <c r="AK179"/>
      <c r="AL179"/>
      <c r="AM179"/>
      <c r="AN179"/>
    </row>
    <row r="180" spans="2:40">
      <c r="B180"/>
      <c r="C180"/>
      <c r="D180"/>
      <c r="E180"/>
      <c r="F180"/>
      <c r="G180"/>
      <c r="H180"/>
      <c r="I180"/>
      <c r="J180"/>
      <c r="K180"/>
      <c r="L180"/>
      <c r="M180"/>
      <c r="N180"/>
      <c r="O180"/>
      <c r="P180"/>
      <c r="Q180"/>
      <c r="R180"/>
      <c r="S180"/>
      <c r="T180"/>
      <c r="U180"/>
      <c r="V180"/>
      <c r="W180"/>
      <c r="X180"/>
      <c r="Y180"/>
      <c r="Z180"/>
      <c r="AA180"/>
      <c r="AB180"/>
      <c r="AC180"/>
      <c r="AD180"/>
      <c r="AE180"/>
      <c r="AF180"/>
      <c r="AG180"/>
      <c r="AH180"/>
      <c r="AI180"/>
      <c r="AJ180"/>
      <c r="AK180"/>
      <c r="AL180"/>
      <c r="AM180"/>
      <c r="AN180"/>
    </row>
    <row r="181" spans="2:40">
      <c r="B181"/>
      <c r="C181"/>
      <c r="D181"/>
      <c r="E181"/>
      <c r="F181"/>
      <c r="G181"/>
      <c r="H181"/>
      <c r="I181"/>
      <c r="J181"/>
      <c r="K181"/>
      <c r="L181"/>
      <c r="M181"/>
      <c r="N181"/>
      <c r="O181"/>
      <c r="P181"/>
      <c r="Q181"/>
      <c r="R181"/>
      <c r="S181"/>
      <c r="T181"/>
      <c r="U181"/>
      <c r="V181"/>
      <c r="W181"/>
      <c r="X181"/>
      <c r="Y181"/>
      <c r="Z181"/>
      <c r="AA181"/>
      <c r="AB181"/>
      <c r="AC181"/>
      <c r="AD181"/>
      <c r="AE181"/>
      <c r="AF181"/>
      <c r="AG181"/>
      <c r="AH181"/>
      <c r="AI181"/>
      <c r="AJ181"/>
      <c r="AK181"/>
      <c r="AL181"/>
      <c r="AM181"/>
      <c r="AN181"/>
    </row>
    <row r="182" spans="2:40">
      <c r="B182"/>
      <c r="C182"/>
      <c r="D182"/>
      <c r="E182"/>
      <c r="F182"/>
      <c r="G182"/>
      <c r="H182"/>
      <c r="I182"/>
      <c r="J182"/>
      <c r="K182"/>
      <c r="L182"/>
      <c r="M182"/>
      <c r="N182"/>
      <c r="O182"/>
      <c r="P182"/>
      <c r="Q182"/>
      <c r="R182"/>
      <c r="S182"/>
      <c r="T182"/>
      <c r="U182"/>
      <c r="V182"/>
      <c r="W182"/>
      <c r="X182"/>
      <c r="Y182"/>
      <c r="Z182"/>
      <c r="AA182"/>
      <c r="AB182"/>
      <c r="AC182"/>
      <c r="AD182"/>
      <c r="AE182"/>
      <c r="AF182"/>
      <c r="AG182"/>
      <c r="AH182"/>
      <c r="AI182"/>
      <c r="AJ182"/>
      <c r="AK182"/>
      <c r="AL182"/>
      <c r="AM182"/>
      <c r="AN182"/>
    </row>
    <row r="183" spans="2:40">
      <c r="B183"/>
      <c r="C183"/>
      <c r="D183"/>
      <c r="E183"/>
      <c r="F183"/>
      <c r="G183"/>
      <c r="H183"/>
      <c r="I183"/>
      <c r="J183"/>
      <c r="K183"/>
      <c r="L183"/>
      <c r="M183"/>
      <c r="N183"/>
      <c r="O183"/>
      <c r="P183"/>
      <c r="Q183"/>
      <c r="R183"/>
      <c r="S183"/>
      <c r="T183"/>
      <c r="U183"/>
      <c r="V183"/>
      <c r="W183"/>
      <c r="X183"/>
      <c r="Y183"/>
      <c r="Z183"/>
      <c r="AA183"/>
      <c r="AB183"/>
      <c r="AC183"/>
      <c r="AD183"/>
      <c r="AE183"/>
      <c r="AF183"/>
      <c r="AG183"/>
      <c r="AH183"/>
      <c r="AI183"/>
      <c r="AJ183"/>
      <c r="AK183"/>
      <c r="AL183"/>
      <c r="AM183"/>
      <c r="AN183"/>
    </row>
    <row r="184" spans="2:40">
      <c r="B184"/>
      <c r="C184"/>
      <c r="D184"/>
      <c r="E184"/>
      <c r="F184"/>
      <c r="G184"/>
      <c r="H184"/>
      <c r="I184"/>
      <c r="J184"/>
      <c r="K184"/>
      <c r="L184"/>
      <c r="M184"/>
      <c r="N184"/>
      <c r="O184"/>
      <c r="P184"/>
      <c r="Q184"/>
      <c r="R184"/>
      <c r="S184"/>
      <c r="T184"/>
      <c r="U184"/>
      <c r="V184"/>
      <c r="W184"/>
      <c r="X184"/>
      <c r="Y184"/>
      <c r="Z184"/>
      <c r="AA184"/>
      <c r="AB184"/>
      <c r="AC184"/>
      <c r="AD184"/>
      <c r="AE184"/>
      <c r="AF184"/>
      <c r="AG184"/>
      <c r="AH184"/>
      <c r="AI184"/>
      <c r="AJ184"/>
      <c r="AK184"/>
      <c r="AL184"/>
      <c r="AM184"/>
      <c r="AN184"/>
    </row>
    <row r="185" spans="2:40">
      <c r="B185"/>
      <c r="C185"/>
      <c r="D185"/>
      <c r="E185"/>
      <c r="F185"/>
      <c r="G185"/>
      <c r="H185"/>
      <c r="I185"/>
      <c r="J185"/>
      <c r="K185"/>
      <c r="L185"/>
      <c r="M185"/>
      <c r="N185"/>
      <c r="O185"/>
      <c r="P185"/>
      <c r="Q185"/>
      <c r="R185"/>
      <c r="S185"/>
      <c r="T185"/>
      <c r="U185"/>
      <c r="V185"/>
      <c r="W185"/>
      <c r="X185"/>
      <c r="Y185"/>
      <c r="Z185"/>
      <c r="AA185"/>
      <c r="AB185"/>
      <c r="AC185"/>
      <c r="AD185"/>
      <c r="AE185"/>
      <c r="AF185"/>
      <c r="AG185"/>
      <c r="AH185"/>
      <c r="AI185"/>
      <c r="AJ185"/>
      <c r="AK185"/>
      <c r="AL185"/>
      <c r="AM185"/>
      <c r="AN185"/>
    </row>
    <row r="186" spans="2:40">
      <c r="B186"/>
      <c r="C186"/>
      <c r="D186"/>
      <c r="E186"/>
      <c r="F186"/>
      <c r="G186"/>
      <c r="H186"/>
      <c r="I186"/>
      <c r="J186"/>
      <c r="K186"/>
      <c r="L186"/>
      <c r="M186"/>
      <c r="N186"/>
      <c r="O186"/>
      <c r="P186"/>
      <c r="Q186"/>
      <c r="R186"/>
      <c r="S186"/>
      <c r="T186"/>
      <c r="U186"/>
      <c r="V186"/>
      <c r="W186"/>
      <c r="X186"/>
      <c r="Y186"/>
      <c r="Z186"/>
      <c r="AA186"/>
      <c r="AB186"/>
      <c r="AC186"/>
      <c r="AD186"/>
      <c r="AE186"/>
      <c r="AF186"/>
      <c r="AG186"/>
      <c r="AH186"/>
      <c r="AI186"/>
      <c r="AJ186"/>
      <c r="AK186"/>
      <c r="AL186"/>
      <c r="AM186"/>
      <c r="AN186"/>
    </row>
    <row r="187" spans="2:40">
      <c r="B187"/>
      <c r="C187"/>
      <c r="D187"/>
      <c r="E187"/>
      <c r="F187"/>
      <c r="G187"/>
      <c r="H187"/>
      <c r="I187"/>
      <c r="J187"/>
      <c r="K187"/>
      <c r="L187"/>
      <c r="M187"/>
      <c r="N187"/>
      <c r="O187"/>
      <c r="P187"/>
      <c r="Q187"/>
      <c r="R187"/>
      <c r="S187"/>
      <c r="T187"/>
      <c r="U187"/>
      <c r="V187"/>
      <c r="W187"/>
      <c r="X187"/>
      <c r="Y187"/>
      <c r="Z187"/>
      <c r="AA187"/>
      <c r="AB187"/>
      <c r="AC187"/>
      <c r="AD187"/>
      <c r="AE187"/>
      <c r="AF187"/>
      <c r="AG187"/>
      <c r="AH187"/>
      <c r="AI187"/>
      <c r="AJ187"/>
      <c r="AK187"/>
      <c r="AL187"/>
      <c r="AM187"/>
      <c r="AN187"/>
    </row>
    <row r="188" spans="2:40">
      <c r="B188"/>
      <c r="C188"/>
      <c r="D188"/>
      <c r="E188"/>
      <c r="F188"/>
      <c r="G188"/>
      <c r="H188"/>
      <c r="I188"/>
      <c r="J188"/>
      <c r="K188"/>
      <c r="L188"/>
      <c r="M188"/>
      <c r="N188"/>
      <c r="O188"/>
      <c r="P188"/>
      <c r="Q188"/>
      <c r="R188"/>
      <c r="S188"/>
      <c r="T188"/>
      <c r="U188"/>
      <c r="V188"/>
      <c r="W188"/>
      <c r="X188"/>
      <c r="Y188"/>
      <c r="Z188"/>
      <c r="AA188"/>
      <c r="AB188"/>
      <c r="AC188"/>
      <c r="AD188"/>
      <c r="AE188"/>
      <c r="AF188"/>
      <c r="AG188"/>
      <c r="AH188"/>
      <c r="AI188"/>
      <c r="AJ188"/>
      <c r="AK188"/>
      <c r="AL188"/>
      <c r="AM188"/>
      <c r="AN188"/>
    </row>
    <row r="189" spans="2:40">
      <c r="B189"/>
      <c r="C189"/>
      <c r="D189"/>
      <c r="E189"/>
      <c r="F189"/>
      <c r="G189"/>
      <c r="H189"/>
      <c r="I189"/>
      <c r="J189"/>
      <c r="K189"/>
      <c r="L189"/>
      <c r="M189"/>
      <c r="N189"/>
      <c r="O189"/>
      <c r="P189"/>
      <c r="Q189"/>
      <c r="R189"/>
      <c r="S189"/>
      <c r="T189"/>
      <c r="U189"/>
      <c r="V189"/>
      <c r="W189"/>
      <c r="X189"/>
      <c r="Y189"/>
      <c r="Z189"/>
      <c r="AA189"/>
      <c r="AB189"/>
      <c r="AC189"/>
      <c r="AD189"/>
      <c r="AE189"/>
      <c r="AF189"/>
      <c r="AG189"/>
      <c r="AH189"/>
      <c r="AI189"/>
      <c r="AJ189"/>
      <c r="AK189"/>
      <c r="AL189"/>
      <c r="AM189"/>
      <c r="AN189"/>
    </row>
    <row r="190" spans="2:40">
      <c r="B190"/>
      <c r="C190"/>
      <c r="D190"/>
      <c r="E190"/>
      <c r="F190"/>
      <c r="G190"/>
      <c r="H190"/>
      <c r="I190"/>
      <c r="J190"/>
      <c r="K190"/>
      <c r="L190"/>
      <c r="M190"/>
      <c r="N190"/>
      <c r="O190"/>
      <c r="P190"/>
      <c r="Q190"/>
      <c r="R190"/>
      <c r="S190"/>
      <c r="T190"/>
      <c r="U190"/>
      <c r="V190"/>
      <c r="W190"/>
      <c r="X190"/>
      <c r="Y190"/>
      <c r="Z190"/>
      <c r="AA190"/>
      <c r="AB190"/>
      <c r="AC190"/>
      <c r="AD190"/>
      <c r="AE190"/>
      <c r="AF190"/>
      <c r="AG190"/>
      <c r="AH190"/>
      <c r="AI190"/>
      <c r="AJ190"/>
      <c r="AK190"/>
      <c r="AL190"/>
      <c r="AM190"/>
      <c r="AN190"/>
    </row>
    <row r="191" spans="2:40">
      <c r="B191"/>
      <c r="C191"/>
      <c r="D191"/>
      <c r="E191"/>
      <c r="F191"/>
      <c r="G191"/>
      <c r="H191"/>
      <c r="I191"/>
      <c r="J191"/>
      <c r="K191"/>
      <c r="L191"/>
      <c r="M191"/>
      <c r="N191"/>
      <c r="O191"/>
      <c r="P191"/>
      <c r="Q191"/>
      <c r="R191"/>
      <c r="S191"/>
      <c r="T191"/>
      <c r="U191"/>
      <c r="V191"/>
      <c r="W191"/>
      <c r="X191"/>
      <c r="Y191"/>
      <c r="Z191"/>
      <c r="AA191"/>
      <c r="AB191"/>
      <c r="AC191"/>
      <c r="AD191"/>
      <c r="AE191"/>
      <c r="AF191"/>
      <c r="AG191"/>
      <c r="AH191"/>
      <c r="AI191"/>
      <c r="AJ191"/>
      <c r="AK191"/>
      <c r="AL191"/>
      <c r="AM191"/>
      <c r="AN191"/>
    </row>
    <row r="192" spans="2:40">
      <c r="B192"/>
      <c r="C192"/>
      <c r="D192"/>
      <c r="E192"/>
      <c r="F192"/>
      <c r="G192"/>
      <c r="H192"/>
      <c r="I192"/>
      <c r="J192"/>
      <c r="K192"/>
      <c r="L192"/>
      <c r="M192"/>
      <c r="N192"/>
      <c r="O192"/>
      <c r="P192"/>
      <c r="Q192"/>
      <c r="R192"/>
      <c r="S192"/>
      <c r="T192"/>
      <c r="U192"/>
      <c r="V192"/>
      <c r="W192"/>
      <c r="X192"/>
      <c r="Y192"/>
      <c r="Z192"/>
      <c r="AA192"/>
      <c r="AB192"/>
      <c r="AC192"/>
      <c r="AD192"/>
      <c r="AE192"/>
      <c r="AF192"/>
      <c r="AG192"/>
      <c r="AH192"/>
      <c r="AI192"/>
      <c r="AJ192"/>
      <c r="AK192"/>
      <c r="AL192"/>
      <c r="AM192"/>
      <c r="AN192"/>
    </row>
    <row r="193" spans="2:40">
      <c r="B193"/>
      <c r="C193"/>
      <c r="D193"/>
      <c r="E193"/>
      <c r="F193"/>
      <c r="G193"/>
      <c r="H193"/>
      <c r="I193"/>
      <c r="J193"/>
      <c r="K193"/>
      <c r="L193"/>
      <c r="M193"/>
      <c r="N193"/>
      <c r="O193"/>
      <c r="P193"/>
      <c r="Q193"/>
      <c r="R193"/>
      <c r="S193"/>
      <c r="T193"/>
      <c r="U193"/>
      <c r="V193"/>
      <c r="W193"/>
      <c r="X193"/>
      <c r="Y193"/>
      <c r="Z193"/>
      <c r="AA193"/>
      <c r="AB193"/>
      <c r="AC193"/>
      <c r="AD193"/>
      <c r="AE193"/>
      <c r="AF193"/>
      <c r="AG193"/>
      <c r="AH193"/>
      <c r="AI193"/>
      <c r="AJ193"/>
      <c r="AK193"/>
      <c r="AL193"/>
      <c r="AM193"/>
      <c r="AN193"/>
    </row>
  </sheetData>
  <sheetProtection algorithmName="SHA-512" hashValue="Y7p1oFCr9md49Ljyd5uvj31lSQIml3RCpe+fVjx6CRO0J9yLQ+3Uy5a011iE7M25uFfbh7gWKqXPGH41wCMMEQ==" saltValue="5mUsZDgXveFXxEy3DIWKIQ==" spinCount="100000" sheet="1" scenarios="1" formatCells="0" formatColumns="0" formatRows="0" insertColumns="0" insertRows="0" deleteColumns="0" deleteRows="0" selectLockedCells="1"/>
  <mergeCells count="228">
    <mergeCell ref="A47:F47"/>
    <mergeCell ref="G47:H47"/>
    <mergeCell ref="I47:O47"/>
    <mergeCell ref="P47:V47"/>
    <mergeCell ref="W47:Y47"/>
    <mergeCell ref="Z47:AB47"/>
    <mergeCell ref="AC47:AD47"/>
    <mergeCell ref="AE47:AJ47"/>
    <mergeCell ref="AK47:AN47"/>
    <mergeCell ref="A2:AH4"/>
    <mergeCell ref="H5:I5"/>
    <mergeCell ref="D14:Q14"/>
    <mergeCell ref="U14:AN14"/>
    <mergeCell ref="X5:Z5"/>
    <mergeCell ref="AA5:AD5"/>
    <mergeCell ref="AE5:AH5"/>
    <mergeCell ref="AI5:AM5"/>
    <mergeCell ref="D17:Q17"/>
    <mergeCell ref="U17:AN17"/>
    <mergeCell ref="D20:Q20"/>
    <mergeCell ref="U20:AN20"/>
    <mergeCell ref="D7:Q7"/>
    <mergeCell ref="U7:AN7"/>
    <mergeCell ref="D8:Q8"/>
    <mergeCell ref="U8:AN8"/>
    <mergeCell ref="D11:Q11"/>
    <mergeCell ref="U11:AN11"/>
    <mergeCell ref="A32:J32"/>
    <mergeCell ref="K32:Q32"/>
    <mergeCell ref="R32:X32"/>
    <mergeCell ref="Y32:AN32"/>
    <mergeCell ref="A33:H33"/>
    <mergeCell ref="I33:Q33"/>
    <mergeCell ref="R33:X33"/>
    <mergeCell ref="Y33:AN33"/>
    <mergeCell ref="D23:Q23"/>
    <mergeCell ref="U23:AN23"/>
    <mergeCell ref="D26:Q26"/>
    <mergeCell ref="U26:AN26"/>
    <mergeCell ref="D29:Q29"/>
    <mergeCell ref="V29:AN29"/>
    <mergeCell ref="AH34:AJ34"/>
    <mergeCell ref="AK34:AN34"/>
    <mergeCell ref="A35:F35"/>
    <mergeCell ref="G35:Q35"/>
    <mergeCell ref="R35:X35"/>
    <mergeCell ref="Y35:AN35"/>
    <mergeCell ref="A34:F34"/>
    <mergeCell ref="G34:K34"/>
    <mergeCell ref="L34:M34"/>
    <mergeCell ref="N34:Q34"/>
    <mergeCell ref="R34:X34"/>
    <mergeCell ref="Y34:AG34"/>
    <mergeCell ref="AK40:AN43"/>
    <mergeCell ref="A38:F38"/>
    <mergeCell ref="G38:Q38"/>
    <mergeCell ref="R38:X38"/>
    <mergeCell ref="Y38:AN38"/>
    <mergeCell ref="A36:F36"/>
    <mergeCell ref="G36:Q36"/>
    <mergeCell ref="R36:X36"/>
    <mergeCell ref="Y36:AN36"/>
    <mergeCell ref="A37:G37"/>
    <mergeCell ref="H37:Q37"/>
    <mergeCell ref="R37:Z37"/>
    <mergeCell ref="AA37:AN37"/>
    <mergeCell ref="AE40:AJ41"/>
    <mergeCell ref="AE42:AJ42"/>
    <mergeCell ref="A40:F40"/>
    <mergeCell ref="G40:H42"/>
    <mergeCell ref="P40:V40"/>
    <mergeCell ref="W40:Y42"/>
    <mergeCell ref="Z40:AB43"/>
    <mergeCell ref="AC40:AD43"/>
    <mergeCell ref="I40:O41"/>
    <mergeCell ref="AE44:AJ44"/>
    <mergeCell ref="AK44:AN44"/>
    <mergeCell ref="G45:H45"/>
    <mergeCell ref="I45:O45"/>
    <mergeCell ref="P45:V45"/>
    <mergeCell ref="W45:Y45"/>
    <mergeCell ref="Z45:AB45"/>
    <mergeCell ref="AC45:AD45"/>
    <mergeCell ref="AE45:AJ45"/>
    <mergeCell ref="AK45:AN45"/>
    <mergeCell ref="I44:O44"/>
    <mergeCell ref="P44:V44"/>
    <mergeCell ref="W44:Y44"/>
    <mergeCell ref="Z44:AB44"/>
    <mergeCell ref="AC44:AD44"/>
    <mergeCell ref="G44:H44"/>
    <mergeCell ref="AE51:AJ51"/>
    <mergeCell ref="AK51:AN51"/>
    <mergeCell ref="A52:F52"/>
    <mergeCell ref="A44:F44"/>
    <mergeCell ref="A45:F45"/>
    <mergeCell ref="A50:F50"/>
    <mergeCell ref="A51:F51"/>
    <mergeCell ref="G52:H52"/>
    <mergeCell ref="I52:O52"/>
    <mergeCell ref="P52:V52"/>
    <mergeCell ref="AC50:AD50"/>
    <mergeCell ref="AE50:AJ50"/>
    <mergeCell ref="AK50:AN50"/>
    <mergeCell ref="G51:H51"/>
    <mergeCell ref="I51:O51"/>
    <mergeCell ref="P51:V51"/>
    <mergeCell ref="W51:Y51"/>
    <mergeCell ref="Z51:AB51"/>
    <mergeCell ref="AC51:AD51"/>
    <mergeCell ref="G50:H50"/>
    <mergeCell ref="I50:O50"/>
    <mergeCell ref="P50:V50"/>
    <mergeCell ref="W50:Y50"/>
    <mergeCell ref="Z50:AB50"/>
    <mergeCell ref="W52:Y52"/>
    <mergeCell ref="Z52:AB52"/>
    <mergeCell ref="AC52:AD52"/>
    <mergeCell ref="AE52:AJ52"/>
    <mergeCell ref="AK52:AN52"/>
    <mergeCell ref="A53:F53"/>
    <mergeCell ref="G53:H53"/>
    <mergeCell ref="I53:O53"/>
    <mergeCell ref="P53:V53"/>
    <mergeCell ref="W53:Y53"/>
    <mergeCell ref="Z53:AB53"/>
    <mergeCell ref="AC53:AD53"/>
    <mergeCell ref="AE53:AJ53"/>
    <mergeCell ref="AK53:AN53"/>
    <mergeCell ref="A54:F54"/>
    <mergeCell ref="G54:H54"/>
    <mergeCell ref="I54:O54"/>
    <mergeCell ref="P54:V54"/>
    <mergeCell ref="W54:Y54"/>
    <mergeCell ref="Z54:AB54"/>
    <mergeCell ref="AC54:AD54"/>
    <mergeCell ref="AE54:AJ54"/>
    <mergeCell ref="AK54:AN54"/>
    <mergeCell ref="G55:H55"/>
    <mergeCell ref="I55:O55"/>
    <mergeCell ref="P55:V55"/>
    <mergeCell ref="W55:Y55"/>
    <mergeCell ref="Z55:AB55"/>
    <mergeCell ref="AC55:AD55"/>
    <mergeCell ref="AE55:AJ55"/>
    <mergeCell ref="AK55:AN55"/>
    <mergeCell ref="A56:F56"/>
    <mergeCell ref="G56:H56"/>
    <mergeCell ref="I56:O56"/>
    <mergeCell ref="P56:V56"/>
    <mergeCell ref="W56:Y56"/>
    <mergeCell ref="Z56:AB56"/>
    <mergeCell ref="AC56:AD56"/>
    <mergeCell ref="AE56:AJ56"/>
    <mergeCell ref="AK56:AN56"/>
    <mergeCell ref="A55:F55"/>
    <mergeCell ref="AC57:AD57"/>
    <mergeCell ref="AE57:AJ57"/>
    <mergeCell ref="AK57:AN57"/>
    <mergeCell ref="A58:F58"/>
    <mergeCell ref="G58:H58"/>
    <mergeCell ref="I58:O58"/>
    <mergeCell ref="P58:V58"/>
    <mergeCell ref="W58:Y58"/>
    <mergeCell ref="Z58:AB58"/>
    <mergeCell ref="AC58:AD58"/>
    <mergeCell ref="A57:F57"/>
    <mergeCell ref="G57:H57"/>
    <mergeCell ref="I57:O57"/>
    <mergeCell ref="P57:V57"/>
    <mergeCell ref="W57:Y57"/>
    <mergeCell ref="Z57:AB57"/>
    <mergeCell ref="AE58:AJ58"/>
    <mergeCell ref="AK58:AN58"/>
    <mergeCell ref="A59:F59"/>
    <mergeCell ref="G59:H59"/>
    <mergeCell ref="I59:O59"/>
    <mergeCell ref="P59:V59"/>
    <mergeCell ref="W59:Y59"/>
    <mergeCell ref="Z59:AB59"/>
    <mergeCell ref="AC59:AD59"/>
    <mergeCell ref="AE59:AJ59"/>
    <mergeCell ref="AK59:AN59"/>
    <mergeCell ref="A60:F60"/>
    <mergeCell ref="G60:H60"/>
    <mergeCell ref="I60:O60"/>
    <mergeCell ref="P60:V60"/>
    <mergeCell ref="W60:Y60"/>
    <mergeCell ref="Z60:AB60"/>
    <mergeCell ref="AC60:AD60"/>
    <mergeCell ref="AE60:AJ60"/>
    <mergeCell ref="AK60:AN60"/>
    <mergeCell ref="AC61:AD61"/>
    <mergeCell ref="AE61:AJ61"/>
    <mergeCell ref="AK61:AN61"/>
    <mergeCell ref="A61:F61"/>
    <mergeCell ref="G61:H61"/>
    <mergeCell ref="I61:O61"/>
    <mergeCell ref="P61:V61"/>
    <mergeCell ref="W61:Y61"/>
    <mergeCell ref="Z61:AB61"/>
    <mergeCell ref="A46:F46"/>
    <mergeCell ref="G46:H46"/>
    <mergeCell ref="I46:O46"/>
    <mergeCell ref="P46:V46"/>
    <mergeCell ref="W46:Y46"/>
    <mergeCell ref="Z46:AB46"/>
    <mergeCell ref="AC46:AD46"/>
    <mergeCell ref="AE46:AJ46"/>
    <mergeCell ref="AK46:AN46"/>
    <mergeCell ref="A48:F48"/>
    <mergeCell ref="G48:H48"/>
    <mergeCell ref="I48:O48"/>
    <mergeCell ref="P48:V48"/>
    <mergeCell ref="W48:Y48"/>
    <mergeCell ref="Z48:AB48"/>
    <mergeCell ref="AC48:AD48"/>
    <mergeCell ref="AE48:AJ48"/>
    <mergeCell ref="AK48:AN48"/>
    <mergeCell ref="A49:F49"/>
    <mergeCell ref="G49:H49"/>
    <mergeCell ref="I49:O49"/>
    <mergeCell ref="P49:V49"/>
    <mergeCell ref="W49:Y49"/>
    <mergeCell ref="Z49:AB49"/>
    <mergeCell ref="AC49:AD49"/>
    <mergeCell ref="AE49:AJ49"/>
    <mergeCell ref="AK49:AN49"/>
  </mergeCells>
  <printOptions horizontalCentered="1"/>
  <pageMargins left="0.6692913385826772" right="0.47244094488188981" top="0.59055118110236227" bottom="0.31496062992125984" header="0.31496062992125984" footer="0.19685039370078741"/>
  <pageSetup paperSize="9" scale="64" orientation="portrait" r:id="rId1"/>
  <headerFooter>
    <oddHeader>&amp;R&amp;G</oddHeader>
    <oddFooter>&amp;LMHG-PU-F-0019&amp;CPPA-Template ; Rev.: 01/2019&amp;RJ.-U. Liedtke / PU-SD-GA</oddFooter>
  </headerFooter>
  <legacyDrawingHF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O116"/>
  <sheetViews>
    <sheetView showGridLines="0" zoomScaleNormal="100" zoomScalePageLayoutView="120" workbookViewId="0">
      <selection activeCell="K32" sqref="K32:Q32"/>
    </sheetView>
  </sheetViews>
  <sheetFormatPr baseColWidth="10" defaultColWidth="9.140625" defaultRowHeight="12.75"/>
  <cols>
    <col min="1" max="1" width="0.7109375" style="113" customWidth="1"/>
    <col min="2" max="2" width="3" style="113" customWidth="1"/>
    <col min="3" max="3" width="0.7109375" style="113" customWidth="1"/>
    <col min="4" max="4" width="5.140625" style="113" customWidth="1"/>
    <col min="5" max="5" width="9.7109375" style="113" customWidth="1"/>
    <col min="6" max="6" width="6.7109375" style="113" customWidth="1"/>
    <col min="7" max="7" width="6.85546875" style="113" customWidth="1"/>
    <col min="8" max="9" width="5" style="113" customWidth="1"/>
    <col min="10" max="10" width="4" style="113" customWidth="1"/>
    <col min="11" max="11" width="5" style="113" customWidth="1"/>
    <col min="12" max="13" width="3.85546875" style="113" customWidth="1"/>
    <col min="14" max="14" width="4.42578125" style="113" customWidth="1"/>
    <col min="15" max="15" width="3.42578125" style="113" customWidth="1"/>
    <col min="16" max="16" width="3.7109375" style="113" customWidth="1"/>
    <col min="17" max="17" width="2.7109375" style="113" customWidth="1"/>
    <col min="18" max="18" width="0.7109375" style="113" customWidth="1"/>
    <col min="19" max="19" width="3" style="113" customWidth="1"/>
    <col min="20" max="20" width="0.7109375" style="113" customWidth="1"/>
    <col min="21" max="21" width="3.85546875" style="113" customWidth="1"/>
    <col min="22" max="22" width="3.42578125" style="113" customWidth="1"/>
    <col min="23" max="23" width="3.85546875" style="113" customWidth="1"/>
    <col min="24" max="24" width="1.140625" style="113" customWidth="1"/>
    <col min="25" max="25" width="4.7109375" style="113" customWidth="1"/>
    <col min="26" max="26" width="3.7109375" style="113" customWidth="1"/>
    <col min="27" max="29" width="3.42578125" style="113" customWidth="1"/>
    <col min="30" max="30" width="4.42578125" style="113" customWidth="1"/>
    <col min="31" max="31" width="3.42578125" style="113" customWidth="1"/>
    <col min="32" max="32" width="2.42578125" style="113" customWidth="1"/>
    <col min="33" max="37" width="3.42578125" style="113" customWidth="1"/>
    <col min="38" max="39" width="1.42578125" style="113" customWidth="1"/>
    <col min="40" max="40" width="3.42578125" style="113" customWidth="1"/>
    <col min="41" max="16384" width="9.140625" style="113"/>
  </cols>
  <sheetData>
    <row r="1" spans="1:40" ht="9" customHeight="1"/>
    <row r="2" spans="1:40" ht="12.75" customHeight="1">
      <c r="A2" s="1662" t="str">
        <f>VLOOKUP("prozessbezogene und sonstige dokumente",Translations!$A:$T,MATCH(Cover!DR19,Translations!A2:P2,0),0)</f>
        <v>Process-related and other documents</v>
      </c>
      <c r="B2" s="1662"/>
      <c r="C2" s="1662"/>
      <c r="D2" s="1662"/>
      <c r="E2" s="1662"/>
      <c r="F2" s="1662"/>
      <c r="G2" s="1662"/>
      <c r="H2" s="1662"/>
      <c r="I2" s="1662"/>
      <c r="J2" s="1662"/>
      <c r="K2" s="1662"/>
      <c r="L2" s="1662"/>
      <c r="M2" s="1662"/>
      <c r="N2" s="1662"/>
      <c r="O2" s="1662"/>
      <c r="P2" s="1662"/>
      <c r="Q2" s="1662"/>
      <c r="R2" s="1662"/>
      <c r="S2" s="1662"/>
      <c r="T2" s="1662"/>
      <c r="U2" s="1662"/>
      <c r="V2" s="1662"/>
      <c r="W2" s="1662"/>
      <c r="X2" s="1662"/>
      <c r="Y2" s="1662"/>
      <c r="Z2" s="1662"/>
      <c r="AA2" s="1662"/>
      <c r="AB2" s="1662"/>
      <c r="AC2" s="1662"/>
      <c r="AD2" s="1662"/>
      <c r="AE2" s="1662"/>
      <c r="AF2" s="1662"/>
      <c r="AG2" s="1662"/>
      <c r="AH2" s="1662"/>
    </row>
    <row r="3" spans="1:40" ht="12.75" customHeight="1">
      <c r="A3" s="1662"/>
      <c r="B3" s="1662"/>
      <c r="C3" s="1662"/>
      <c r="D3" s="1662"/>
      <c r="E3" s="1662"/>
      <c r="F3" s="1662"/>
      <c r="G3" s="1662"/>
      <c r="H3" s="1662"/>
      <c r="I3" s="1662"/>
      <c r="J3" s="1662"/>
      <c r="K3" s="1662"/>
      <c r="L3" s="1662"/>
      <c r="M3" s="1662"/>
      <c r="N3" s="1662"/>
      <c r="O3" s="1662"/>
      <c r="P3" s="1662"/>
      <c r="Q3" s="1662"/>
      <c r="R3" s="1662"/>
      <c r="S3" s="1662"/>
      <c r="T3" s="1662"/>
      <c r="U3" s="1662"/>
      <c r="V3" s="1662"/>
      <c r="W3" s="1662"/>
      <c r="X3" s="1662"/>
      <c r="Y3" s="1662"/>
      <c r="Z3" s="1662"/>
      <c r="AA3" s="1662"/>
      <c r="AB3" s="1662"/>
      <c r="AC3" s="1662"/>
      <c r="AD3" s="1662"/>
      <c r="AE3" s="1662"/>
      <c r="AF3" s="1662"/>
      <c r="AG3" s="1662"/>
      <c r="AH3" s="1662"/>
    </row>
    <row r="4" spans="1:40" ht="10.5" customHeight="1">
      <c r="A4" s="1662"/>
      <c r="B4" s="1662"/>
      <c r="C4" s="1662"/>
      <c r="D4" s="1662"/>
      <c r="E4" s="1662"/>
      <c r="F4" s="1662"/>
      <c r="G4" s="1662"/>
      <c r="H4" s="1662"/>
      <c r="I4" s="1662"/>
      <c r="J4" s="1662"/>
      <c r="K4" s="1662"/>
      <c r="L4" s="1662"/>
      <c r="M4" s="1662"/>
      <c r="N4" s="1662"/>
      <c r="O4" s="1662"/>
      <c r="P4" s="1662"/>
      <c r="Q4" s="1662"/>
      <c r="R4" s="1662"/>
      <c r="S4" s="1662"/>
      <c r="T4" s="1662"/>
      <c r="U4" s="1662"/>
      <c r="V4" s="1662"/>
      <c r="W4" s="1662"/>
      <c r="X4" s="1662"/>
      <c r="Y4" s="1662"/>
      <c r="Z4" s="1662"/>
      <c r="AA4" s="1662"/>
      <c r="AB4" s="1662"/>
      <c r="AC4" s="1662"/>
      <c r="AD4" s="1662"/>
      <c r="AE4" s="1662"/>
      <c r="AF4" s="1662"/>
      <c r="AG4" s="1662"/>
      <c r="AH4" s="1662"/>
    </row>
    <row r="5" spans="1:40" ht="15">
      <c r="E5" s="649" t="str">
        <f>VLOOKUP("blatt",Translations!$A:$T,MATCH(Cover!DR19,Translations!A2:P2,0),0)</f>
        <v>Page</v>
      </c>
      <c r="F5" s="650"/>
      <c r="G5" s="649" t="str">
        <f>VLOOKUP("vonvv",Translations!$A:$T,MATCH(Cover!DR19,Translations!A2:P2,0),0)</f>
        <v>of</v>
      </c>
      <c r="H5" s="1151"/>
      <c r="I5" s="1151"/>
      <c r="Y5" s="1143" t="str">
        <f>VLOOKUP("standyy",Translations!$A:$T,MATCH(Cover!DR19,Translations!A2:P2,0),0)</f>
        <v>Status:</v>
      </c>
      <c r="Z5" s="1143"/>
      <c r="AA5" s="1143"/>
      <c r="AB5" s="1151"/>
      <c r="AC5" s="1151"/>
      <c r="AD5" s="1151"/>
      <c r="AE5" s="1151"/>
      <c r="AF5" s="1143" t="str">
        <f>VLOOKUP("ydatumf",Translations!$A:$T,MATCH(Cover!DR19,Translations!A2:P2,0),0)</f>
        <v>/ Date:</v>
      </c>
      <c r="AG5" s="1143"/>
      <c r="AH5" s="1143"/>
      <c r="AI5" s="1150"/>
      <c r="AJ5" s="1151"/>
      <c r="AK5" s="1151"/>
      <c r="AL5" s="1151"/>
      <c r="AM5" s="1151"/>
    </row>
    <row r="6" spans="1:40" ht="4.5" customHeight="1" thickBot="1"/>
    <row r="7" spans="1:40" ht="3" customHeight="1">
      <c r="A7" s="279"/>
      <c r="B7" s="280"/>
      <c r="C7" s="280"/>
      <c r="D7" s="1148"/>
      <c r="E7" s="1148"/>
      <c r="F7" s="1148"/>
      <c r="G7" s="1148"/>
      <c r="H7" s="1148"/>
      <c r="I7" s="1148"/>
      <c r="J7" s="1148"/>
      <c r="K7" s="1148"/>
      <c r="L7" s="1148"/>
      <c r="M7" s="1148"/>
      <c r="N7" s="1148"/>
      <c r="O7" s="1148"/>
      <c r="P7" s="1148"/>
      <c r="Q7" s="1149"/>
      <c r="R7" s="279"/>
      <c r="S7" s="280"/>
      <c r="T7" s="280"/>
      <c r="U7" s="1148"/>
      <c r="V7" s="1148"/>
      <c r="W7" s="1148"/>
      <c r="X7" s="1148"/>
      <c r="Y7" s="1148"/>
      <c r="Z7" s="1148"/>
      <c r="AA7" s="1148"/>
      <c r="AB7" s="1148"/>
      <c r="AC7" s="1148"/>
      <c r="AD7" s="1148"/>
      <c r="AE7" s="1148"/>
      <c r="AF7" s="1148"/>
      <c r="AG7" s="1148"/>
      <c r="AH7" s="1148"/>
      <c r="AI7" s="1148"/>
      <c r="AJ7" s="1148"/>
      <c r="AK7" s="1148"/>
      <c r="AL7" s="1148"/>
      <c r="AM7" s="1148"/>
      <c r="AN7" s="1149"/>
    </row>
    <row r="8" spans="1:40" ht="15.75" customHeight="1">
      <c r="A8" s="281"/>
      <c r="B8" s="425"/>
      <c r="C8" s="282"/>
      <c r="D8" s="1266" t="str">
        <f>Cover!AB23</f>
        <v>8 Software test report</v>
      </c>
      <c r="E8" s="1266"/>
      <c r="F8" s="1266"/>
      <c r="G8" s="1266"/>
      <c r="H8" s="1266"/>
      <c r="I8" s="1266"/>
      <c r="J8" s="1266"/>
      <c r="K8" s="1266"/>
      <c r="L8" s="1266"/>
      <c r="M8" s="1266"/>
      <c r="N8" s="1266"/>
      <c r="O8" s="1266"/>
      <c r="P8" s="1266"/>
      <c r="Q8" s="1267"/>
      <c r="R8" s="281"/>
      <c r="S8" s="425"/>
      <c r="T8" s="282"/>
      <c r="U8" s="1266" t="str">
        <f>Cover!BU23</f>
        <v>16 Tooling list</v>
      </c>
      <c r="V8" s="1266"/>
      <c r="W8" s="1266"/>
      <c r="X8" s="1266"/>
      <c r="Y8" s="1266"/>
      <c r="Z8" s="1266"/>
      <c r="AA8" s="1266"/>
      <c r="AB8" s="1266"/>
      <c r="AC8" s="1266"/>
      <c r="AD8" s="1266"/>
      <c r="AE8" s="1266"/>
      <c r="AF8" s="1266"/>
      <c r="AG8" s="1266"/>
      <c r="AH8" s="1266"/>
      <c r="AI8" s="1266"/>
      <c r="AJ8" s="1266"/>
      <c r="AK8" s="1266"/>
      <c r="AL8" s="1266"/>
      <c r="AM8" s="1266"/>
      <c r="AN8" s="1267"/>
    </row>
    <row r="9" spans="1:40" ht="3" customHeight="1">
      <c r="A9" s="281"/>
      <c r="B9" s="282"/>
      <c r="C9" s="282"/>
      <c r="D9" s="653"/>
      <c r="E9" s="653"/>
      <c r="F9" s="653"/>
      <c r="G9" s="653"/>
      <c r="H9" s="653"/>
      <c r="I9" s="653"/>
      <c r="J9" s="653"/>
      <c r="K9" s="653"/>
      <c r="L9" s="653"/>
      <c r="M9" s="653"/>
      <c r="N9" s="653"/>
      <c r="O9" s="653"/>
      <c r="P9" s="653"/>
      <c r="Q9" s="654"/>
      <c r="R9" s="281"/>
      <c r="S9" s="282"/>
      <c r="T9" s="282"/>
      <c r="U9" s="653"/>
      <c r="V9" s="653"/>
      <c r="W9" s="653"/>
      <c r="X9" s="653"/>
      <c r="Y9" s="653"/>
      <c r="Z9" s="653"/>
      <c r="AA9" s="653"/>
      <c r="AB9" s="653"/>
      <c r="AC9" s="653"/>
      <c r="AD9" s="653"/>
      <c r="AE9" s="653"/>
      <c r="AF9" s="653"/>
      <c r="AG9" s="653"/>
      <c r="AH9" s="653"/>
      <c r="AI9" s="653"/>
      <c r="AJ9" s="653"/>
      <c r="AK9" s="653"/>
      <c r="AL9" s="653"/>
      <c r="AM9" s="653"/>
      <c r="AN9" s="654"/>
    </row>
    <row r="10" spans="1:40" ht="3" customHeight="1">
      <c r="A10" s="281"/>
      <c r="B10" s="282"/>
      <c r="C10" s="282"/>
      <c r="D10" s="653"/>
      <c r="E10" s="653"/>
      <c r="F10" s="653"/>
      <c r="G10" s="653"/>
      <c r="H10" s="653"/>
      <c r="I10" s="653"/>
      <c r="J10" s="653"/>
      <c r="K10" s="653"/>
      <c r="L10" s="653"/>
      <c r="M10" s="653"/>
      <c r="N10" s="653"/>
      <c r="O10" s="653"/>
      <c r="P10" s="653"/>
      <c r="Q10" s="654"/>
      <c r="R10" s="281"/>
      <c r="S10" s="282"/>
      <c r="T10" s="282"/>
      <c r="U10" s="653"/>
      <c r="V10" s="653"/>
      <c r="W10" s="653"/>
      <c r="X10" s="653"/>
      <c r="Y10" s="653"/>
      <c r="Z10" s="653"/>
      <c r="AA10" s="653"/>
      <c r="AB10" s="653"/>
      <c r="AC10" s="653"/>
      <c r="AD10" s="653"/>
      <c r="AE10" s="653"/>
      <c r="AF10" s="653"/>
      <c r="AG10" s="653"/>
      <c r="AH10" s="653"/>
      <c r="AI10" s="653"/>
      <c r="AJ10" s="653"/>
      <c r="AK10" s="653"/>
      <c r="AL10" s="653"/>
      <c r="AM10" s="653"/>
      <c r="AN10" s="654"/>
    </row>
    <row r="11" spans="1:40" ht="15.75" customHeight="1">
      <c r="A11" s="281"/>
      <c r="B11" s="425"/>
      <c r="C11" s="282"/>
      <c r="D11" s="1266" t="str">
        <f>Cover!AB25</f>
        <v>9 Process – FMEA</v>
      </c>
      <c r="E11" s="1266"/>
      <c r="F11" s="1266"/>
      <c r="G11" s="1266"/>
      <c r="H11" s="1266"/>
      <c r="I11" s="1266"/>
      <c r="J11" s="1266"/>
      <c r="K11" s="1266"/>
      <c r="L11" s="1266"/>
      <c r="M11" s="1266"/>
      <c r="N11" s="1266"/>
      <c r="O11" s="1266"/>
      <c r="P11" s="1266"/>
      <c r="Q11" s="1267"/>
      <c r="R11" s="281"/>
      <c r="S11" s="425" t="s">
        <v>653</v>
      </c>
      <c r="T11" s="282"/>
      <c r="U11" s="1266" t="str">
        <f>Cover!BU25</f>
        <v>17 Confirmation of agreed capacity</v>
      </c>
      <c r="V11" s="1266"/>
      <c r="W11" s="1266"/>
      <c r="X11" s="1266"/>
      <c r="Y11" s="1266"/>
      <c r="Z11" s="1266"/>
      <c r="AA11" s="1266"/>
      <c r="AB11" s="1266"/>
      <c r="AC11" s="1266"/>
      <c r="AD11" s="1266"/>
      <c r="AE11" s="1266"/>
      <c r="AF11" s="1266"/>
      <c r="AG11" s="1266"/>
      <c r="AH11" s="1266"/>
      <c r="AI11" s="1266"/>
      <c r="AJ11" s="1266"/>
      <c r="AK11" s="1266"/>
      <c r="AL11" s="1266"/>
      <c r="AM11" s="1266"/>
      <c r="AN11" s="1267"/>
    </row>
    <row r="12" spans="1:40" ht="3" customHeight="1">
      <c r="A12" s="281"/>
      <c r="B12" s="282"/>
      <c r="C12" s="282"/>
      <c r="D12" s="653"/>
      <c r="E12" s="653"/>
      <c r="F12" s="653"/>
      <c r="G12" s="653"/>
      <c r="H12" s="653"/>
      <c r="I12" s="653"/>
      <c r="J12" s="653"/>
      <c r="K12" s="653"/>
      <c r="L12" s="653"/>
      <c r="M12" s="653"/>
      <c r="N12" s="653"/>
      <c r="O12" s="653"/>
      <c r="P12" s="653"/>
      <c r="Q12" s="654"/>
      <c r="R12" s="281"/>
      <c r="S12" s="282"/>
      <c r="T12" s="282"/>
      <c r="U12" s="653"/>
      <c r="V12" s="653"/>
      <c r="W12" s="653"/>
      <c r="X12" s="653"/>
      <c r="Y12" s="653"/>
      <c r="Z12" s="653"/>
      <c r="AA12" s="653"/>
      <c r="AB12" s="653"/>
      <c r="AC12" s="653"/>
      <c r="AD12" s="653"/>
      <c r="AE12" s="653"/>
      <c r="AF12" s="653"/>
      <c r="AG12" s="653"/>
      <c r="AH12" s="653"/>
      <c r="AI12" s="653"/>
      <c r="AJ12" s="653"/>
      <c r="AK12" s="653"/>
      <c r="AL12" s="653"/>
      <c r="AM12" s="653"/>
      <c r="AN12" s="654"/>
    </row>
    <row r="13" spans="1:40" ht="3" customHeight="1">
      <c r="A13" s="281"/>
      <c r="B13" s="282"/>
      <c r="C13" s="282"/>
      <c r="D13" s="653"/>
      <c r="E13" s="653"/>
      <c r="F13" s="653"/>
      <c r="G13" s="653"/>
      <c r="H13" s="653"/>
      <c r="I13" s="653"/>
      <c r="J13" s="653"/>
      <c r="K13" s="653"/>
      <c r="L13" s="653"/>
      <c r="M13" s="653"/>
      <c r="N13" s="653"/>
      <c r="O13" s="653"/>
      <c r="P13" s="653"/>
      <c r="Q13" s="654"/>
      <c r="R13" s="281"/>
      <c r="S13" s="282"/>
      <c r="T13" s="282"/>
      <c r="U13" s="653"/>
      <c r="V13" s="653"/>
      <c r="W13" s="653"/>
      <c r="X13" s="653"/>
      <c r="Y13" s="653"/>
      <c r="Z13" s="653"/>
      <c r="AA13" s="653"/>
      <c r="AB13" s="653"/>
      <c r="AC13" s="653"/>
      <c r="AD13" s="653"/>
      <c r="AE13" s="653"/>
      <c r="AF13" s="653"/>
      <c r="AG13" s="653"/>
      <c r="AH13" s="653"/>
      <c r="AI13" s="653"/>
      <c r="AJ13" s="653"/>
      <c r="AK13" s="653"/>
      <c r="AL13" s="653"/>
      <c r="AM13" s="653"/>
      <c r="AN13" s="654"/>
    </row>
    <row r="14" spans="1:40" ht="15.75" customHeight="1">
      <c r="A14" s="281"/>
      <c r="B14" s="425"/>
      <c r="C14" s="282"/>
      <c r="D14" s="1266" t="str">
        <f>Cover!AB27</f>
        <v>10 Process flow chart</v>
      </c>
      <c r="E14" s="1266"/>
      <c r="F14" s="1266"/>
      <c r="G14" s="1266"/>
      <c r="H14" s="1266"/>
      <c r="I14" s="1266"/>
      <c r="J14" s="1266"/>
      <c r="K14" s="1266"/>
      <c r="L14" s="1266"/>
      <c r="M14" s="1266"/>
      <c r="N14" s="1266"/>
      <c r="O14" s="1266"/>
      <c r="P14" s="1266"/>
      <c r="Q14" s="1267"/>
      <c r="R14" s="281"/>
      <c r="S14" s="425"/>
      <c r="T14" s="282"/>
      <c r="U14" s="1266" t="str">
        <f>Cover!BU27</f>
        <v>18 Written self-assessment</v>
      </c>
      <c r="V14" s="1266"/>
      <c r="W14" s="1266"/>
      <c r="X14" s="1266"/>
      <c r="Y14" s="1266"/>
      <c r="Z14" s="1266"/>
      <c r="AA14" s="1266"/>
      <c r="AB14" s="1266"/>
      <c r="AC14" s="1266"/>
      <c r="AD14" s="1266"/>
      <c r="AE14" s="1266"/>
      <c r="AF14" s="1266"/>
      <c r="AG14" s="1266"/>
      <c r="AH14" s="1266"/>
      <c r="AI14" s="1266"/>
      <c r="AJ14" s="1266"/>
      <c r="AK14" s="1266"/>
      <c r="AL14" s="1266"/>
      <c r="AM14" s="1266"/>
      <c r="AN14" s="1267"/>
    </row>
    <row r="15" spans="1:40" ht="3" customHeight="1">
      <c r="A15" s="281"/>
      <c r="B15" s="282"/>
      <c r="C15" s="282"/>
      <c r="D15" s="653"/>
      <c r="E15" s="653"/>
      <c r="F15" s="653"/>
      <c r="G15" s="653"/>
      <c r="H15" s="653"/>
      <c r="I15" s="653"/>
      <c r="J15" s="653"/>
      <c r="K15" s="653"/>
      <c r="L15" s="653"/>
      <c r="M15" s="653"/>
      <c r="N15" s="653"/>
      <c r="O15" s="653"/>
      <c r="P15" s="653"/>
      <c r="Q15" s="654"/>
      <c r="R15" s="281"/>
      <c r="S15" s="282"/>
      <c r="T15" s="282"/>
      <c r="U15" s="653"/>
      <c r="V15" s="653"/>
      <c r="W15" s="653"/>
      <c r="X15" s="653"/>
      <c r="Y15" s="653"/>
      <c r="Z15" s="653"/>
      <c r="AA15" s="653"/>
      <c r="AB15" s="653"/>
      <c r="AC15" s="653"/>
      <c r="AD15" s="653"/>
      <c r="AE15" s="653"/>
      <c r="AF15" s="653"/>
      <c r="AG15" s="653"/>
      <c r="AH15" s="653"/>
      <c r="AI15" s="653"/>
      <c r="AJ15" s="653"/>
      <c r="AK15" s="653"/>
      <c r="AL15" s="653"/>
      <c r="AM15" s="653"/>
      <c r="AN15" s="654"/>
    </row>
    <row r="16" spans="1:40" ht="3" customHeight="1">
      <c r="A16" s="281"/>
      <c r="B16" s="282"/>
      <c r="C16" s="282"/>
      <c r="D16" s="653"/>
      <c r="E16" s="653"/>
      <c r="F16" s="653"/>
      <c r="G16" s="653"/>
      <c r="H16" s="653"/>
      <c r="I16" s="653"/>
      <c r="J16" s="653"/>
      <c r="K16" s="653"/>
      <c r="L16" s="653"/>
      <c r="M16" s="653"/>
      <c r="N16" s="653"/>
      <c r="O16" s="653"/>
      <c r="P16" s="653"/>
      <c r="Q16" s="654"/>
      <c r="R16" s="281"/>
      <c r="S16" s="282"/>
      <c r="T16" s="282"/>
      <c r="U16" s="653"/>
      <c r="V16" s="653"/>
      <c r="W16" s="653"/>
      <c r="X16" s="653"/>
      <c r="Y16" s="653"/>
      <c r="Z16" s="653"/>
      <c r="AA16" s="653"/>
      <c r="AB16" s="653"/>
      <c r="AC16" s="653"/>
      <c r="AD16" s="653"/>
      <c r="AE16" s="653"/>
      <c r="AF16" s="653"/>
      <c r="AG16" s="653"/>
      <c r="AH16" s="653"/>
      <c r="AI16" s="653"/>
      <c r="AJ16" s="653"/>
      <c r="AK16" s="653"/>
      <c r="AL16" s="653"/>
      <c r="AM16" s="653"/>
      <c r="AN16" s="654"/>
    </row>
    <row r="17" spans="1:40" ht="15.75" customHeight="1">
      <c r="A17" s="281"/>
      <c r="B17" s="425"/>
      <c r="C17" s="282"/>
      <c r="D17" s="1266" t="str">
        <f>Cover!AB29</f>
        <v>11 Control plan</v>
      </c>
      <c r="E17" s="1266"/>
      <c r="F17" s="1266"/>
      <c r="G17" s="1266"/>
      <c r="H17" s="1266"/>
      <c r="I17" s="1266"/>
      <c r="J17" s="1266"/>
      <c r="K17" s="1266"/>
      <c r="L17" s="1266"/>
      <c r="M17" s="1266"/>
      <c r="N17" s="1266"/>
      <c r="O17" s="1266"/>
      <c r="P17" s="1266"/>
      <c r="Q17" s="1267"/>
      <c r="R17" s="281"/>
      <c r="S17" s="425"/>
      <c r="T17" s="282"/>
      <c r="U17" s="1266" t="str">
        <f>Cover!BU29</f>
        <v>19 Part history</v>
      </c>
      <c r="V17" s="1266"/>
      <c r="W17" s="1266"/>
      <c r="X17" s="1266"/>
      <c r="Y17" s="1266"/>
      <c r="Z17" s="1266"/>
      <c r="AA17" s="1266"/>
      <c r="AB17" s="1266"/>
      <c r="AC17" s="1266"/>
      <c r="AD17" s="1266"/>
      <c r="AE17" s="1266"/>
      <c r="AF17" s="1266"/>
      <c r="AG17" s="1266"/>
      <c r="AH17" s="1266"/>
      <c r="AI17" s="1266"/>
      <c r="AJ17" s="1266"/>
      <c r="AK17" s="1266"/>
      <c r="AL17" s="1266"/>
      <c r="AM17" s="1266"/>
      <c r="AN17" s="1267"/>
    </row>
    <row r="18" spans="1:40" ht="3" customHeight="1">
      <c r="A18" s="281"/>
      <c r="B18" s="282"/>
      <c r="C18" s="282"/>
      <c r="D18" s="653"/>
      <c r="E18" s="653"/>
      <c r="F18" s="653"/>
      <c r="G18" s="653"/>
      <c r="H18" s="653"/>
      <c r="I18" s="653"/>
      <c r="J18" s="653"/>
      <c r="K18" s="653"/>
      <c r="L18" s="653"/>
      <c r="M18" s="653"/>
      <c r="N18" s="653"/>
      <c r="O18" s="653"/>
      <c r="P18" s="653"/>
      <c r="Q18" s="654"/>
      <c r="R18" s="281"/>
      <c r="S18" s="282"/>
      <c r="T18" s="282"/>
      <c r="U18" s="653"/>
      <c r="V18" s="653"/>
      <c r="W18" s="653"/>
      <c r="X18" s="653"/>
      <c r="Y18" s="653"/>
      <c r="Z18" s="653"/>
      <c r="AA18" s="653"/>
      <c r="AB18" s="653"/>
      <c r="AC18" s="653"/>
      <c r="AD18" s="653"/>
      <c r="AE18" s="653"/>
      <c r="AF18" s="653"/>
      <c r="AG18" s="653"/>
      <c r="AH18" s="653"/>
      <c r="AI18" s="653"/>
      <c r="AJ18" s="653"/>
      <c r="AK18" s="653"/>
      <c r="AL18" s="653"/>
      <c r="AM18" s="653"/>
      <c r="AN18" s="654"/>
    </row>
    <row r="19" spans="1:40" ht="3" customHeight="1">
      <c r="A19" s="281"/>
      <c r="B19" s="282"/>
      <c r="C19" s="282"/>
      <c r="D19" s="653"/>
      <c r="E19" s="653"/>
      <c r="F19" s="653"/>
      <c r="G19" s="653"/>
      <c r="H19" s="653"/>
      <c r="I19" s="653"/>
      <c r="J19" s="653"/>
      <c r="K19" s="653"/>
      <c r="L19" s="653"/>
      <c r="M19" s="653"/>
      <c r="N19" s="653"/>
      <c r="O19" s="653"/>
      <c r="P19" s="653"/>
      <c r="Q19" s="654"/>
      <c r="R19" s="281"/>
      <c r="S19" s="282"/>
      <c r="T19" s="282"/>
      <c r="U19" s="653"/>
      <c r="V19" s="653"/>
      <c r="W19" s="653"/>
      <c r="X19" s="653"/>
      <c r="Y19" s="653"/>
      <c r="Z19" s="653"/>
      <c r="AA19" s="653"/>
      <c r="AB19" s="653"/>
      <c r="AC19" s="653"/>
      <c r="AD19" s="653"/>
      <c r="AE19" s="653"/>
      <c r="AF19" s="653"/>
      <c r="AG19" s="653"/>
      <c r="AH19" s="653"/>
      <c r="AI19" s="653"/>
      <c r="AJ19" s="653"/>
      <c r="AK19" s="653"/>
      <c r="AL19" s="653"/>
      <c r="AM19" s="653"/>
      <c r="AN19" s="654"/>
    </row>
    <row r="20" spans="1:40" ht="15.75" customHeight="1">
      <c r="A20" s="281"/>
      <c r="B20" s="425"/>
      <c r="C20" s="282"/>
      <c r="D20" s="1266" t="str">
        <f>Cover!AB31</f>
        <v>12 Confirmation of process capability</v>
      </c>
      <c r="E20" s="1266"/>
      <c r="F20" s="1266"/>
      <c r="G20" s="1266"/>
      <c r="H20" s="1266"/>
      <c r="I20" s="1266"/>
      <c r="J20" s="1266"/>
      <c r="K20" s="1266"/>
      <c r="L20" s="1266"/>
      <c r="M20" s="1266"/>
      <c r="N20" s="1266"/>
      <c r="O20" s="1266"/>
      <c r="P20" s="1266"/>
      <c r="Q20" s="1267"/>
      <c r="R20" s="281"/>
      <c r="S20" s="425"/>
      <c r="T20" s="282"/>
      <c r="U20" s="1266" t="str">
        <f>Cover!BU31</f>
        <v>20 Confirmation of suitability of transport equipment</v>
      </c>
      <c r="V20" s="1266"/>
      <c r="W20" s="1266"/>
      <c r="X20" s="1266"/>
      <c r="Y20" s="1266"/>
      <c r="Z20" s="1266"/>
      <c r="AA20" s="1266"/>
      <c r="AB20" s="1266"/>
      <c r="AC20" s="1266"/>
      <c r="AD20" s="1266"/>
      <c r="AE20" s="1266"/>
      <c r="AF20" s="1266"/>
      <c r="AG20" s="1266"/>
      <c r="AH20" s="1266"/>
      <c r="AI20" s="1266"/>
      <c r="AJ20" s="1266"/>
      <c r="AK20" s="1266"/>
      <c r="AL20" s="1266"/>
      <c r="AM20" s="1266"/>
      <c r="AN20" s="1267"/>
    </row>
    <row r="21" spans="1:40" ht="3" customHeight="1">
      <c r="A21" s="281"/>
      <c r="B21" s="282"/>
      <c r="C21" s="282"/>
      <c r="D21" s="653"/>
      <c r="E21" s="653"/>
      <c r="F21" s="653"/>
      <c r="G21" s="653"/>
      <c r="H21" s="653"/>
      <c r="I21" s="653"/>
      <c r="J21" s="653"/>
      <c r="K21" s="653"/>
      <c r="L21" s="653"/>
      <c r="M21" s="653"/>
      <c r="N21" s="653"/>
      <c r="O21" s="653"/>
      <c r="P21" s="653"/>
      <c r="Q21" s="654"/>
      <c r="R21" s="281"/>
      <c r="S21" s="282"/>
      <c r="T21" s="282"/>
      <c r="U21" s="653"/>
      <c r="V21" s="653"/>
      <c r="W21" s="653"/>
      <c r="X21" s="653"/>
      <c r="Y21" s="653"/>
      <c r="Z21" s="653"/>
      <c r="AA21" s="653"/>
      <c r="AB21" s="653"/>
      <c r="AC21" s="653"/>
      <c r="AD21" s="653"/>
      <c r="AE21" s="653"/>
      <c r="AF21" s="653"/>
      <c r="AG21" s="653"/>
      <c r="AH21" s="653"/>
      <c r="AI21" s="653"/>
      <c r="AJ21" s="653"/>
      <c r="AK21" s="653"/>
      <c r="AL21" s="653"/>
      <c r="AM21" s="653"/>
      <c r="AN21" s="654"/>
    </row>
    <row r="22" spans="1:40" ht="3" customHeight="1">
      <c r="A22" s="281"/>
      <c r="B22" s="282"/>
      <c r="C22" s="282"/>
      <c r="D22" s="653"/>
      <c r="E22" s="653"/>
      <c r="F22" s="653"/>
      <c r="G22" s="653"/>
      <c r="H22" s="653"/>
      <c r="I22" s="653"/>
      <c r="J22" s="653"/>
      <c r="K22" s="653"/>
      <c r="L22" s="653"/>
      <c r="M22" s="653"/>
      <c r="N22" s="653"/>
      <c r="O22" s="653"/>
      <c r="P22" s="653"/>
      <c r="Q22" s="654"/>
      <c r="R22" s="281"/>
      <c r="S22" s="282"/>
      <c r="T22" s="282"/>
      <c r="U22" s="653"/>
      <c r="V22" s="653"/>
      <c r="W22" s="653"/>
      <c r="X22" s="653"/>
      <c r="Y22" s="653"/>
      <c r="Z22" s="653"/>
      <c r="AA22" s="653"/>
      <c r="AB22" s="653"/>
      <c r="AC22" s="653"/>
      <c r="AD22" s="653"/>
      <c r="AE22" s="653"/>
      <c r="AF22" s="653"/>
      <c r="AG22" s="653"/>
      <c r="AH22" s="653"/>
      <c r="AI22" s="653"/>
      <c r="AJ22" s="653"/>
      <c r="AK22" s="653"/>
      <c r="AL22" s="653"/>
      <c r="AM22" s="653"/>
      <c r="AN22" s="654"/>
    </row>
    <row r="23" spans="1:40" ht="15.75" customHeight="1">
      <c r="A23" s="281"/>
      <c r="B23" s="425"/>
      <c r="C23" s="282"/>
      <c r="D23" s="1266" t="str">
        <f>Cover!AB33</f>
        <v>13 Achievement of special characteristics</v>
      </c>
      <c r="E23" s="1266"/>
      <c r="F23" s="1266"/>
      <c r="G23" s="1266"/>
      <c r="H23" s="1266"/>
      <c r="I23" s="1266"/>
      <c r="J23" s="1266"/>
      <c r="K23" s="1266"/>
      <c r="L23" s="1266"/>
      <c r="M23" s="1266"/>
      <c r="N23" s="1266"/>
      <c r="O23" s="1266"/>
      <c r="P23" s="1266"/>
      <c r="Q23" s="1267"/>
      <c r="R23" s="281"/>
      <c r="S23" s="425"/>
      <c r="T23" s="282"/>
      <c r="U23" s="1266" t="str">
        <f>Cover!BU33</f>
        <v>21 PPA-Status of the supply chain</v>
      </c>
      <c r="V23" s="1266"/>
      <c r="W23" s="1266"/>
      <c r="X23" s="1266"/>
      <c r="Y23" s="1266"/>
      <c r="Z23" s="1266"/>
      <c r="AA23" s="1266"/>
      <c r="AB23" s="1266"/>
      <c r="AC23" s="1266"/>
      <c r="AD23" s="1266"/>
      <c r="AE23" s="1266"/>
      <c r="AF23" s="1266"/>
      <c r="AG23" s="1266"/>
      <c r="AH23" s="1266"/>
      <c r="AI23" s="1266"/>
      <c r="AJ23" s="1266"/>
      <c r="AK23" s="1266"/>
      <c r="AL23" s="1266"/>
      <c r="AM23" s="1266"/>
      <c r="AN23" s="1267"/>
    </row>
    <row r="24" spans="1:40" ht="3" customHeight="1">
      <c r="A24" s="281"/>
      <c r="B24" s="282"/>
      <c r="C24" s="282"/>
      <c r="D24" s="653"/>
      <c r="E24" s="653"/>
      <c r="F24" s="653"/>
      <c r="G24" s="653"/>
      <c r="H24" s="653"/>
      <c r="I24" s="653"/>
      <c r="J24" s="653"/>
      <c r="K24" s="653"/>
      <c r="L24" s="653"/>
      <c r="M24" s="653"/>
      <c r="N24" s="653"/>
      <c r="O24" s="653"/>
      <c r="P24" s="653"/>
      <c r="Q24" s="654"/>
      <c r="R24" s="281"/>
      <c r="S24" s="282"/>
      <c r="T24" s="282"/>
      <c r="U24" s="653"/>
      <c r="V24" s="653"/>
      <c r="W24" s="653"/>
      <c r="X24" s="653"/>
      <c r="Y24" s="653"/>
      <c r="Z24" s="653"/>
      <c r="AA24" s="653"/>
      <c r="AB24" s="653"/>
      <c r="AC24" s="653"/>
      <c r="AD24" s="653"/>
      <c r="AE24" s="653"/>
      <c r="AF24" s="653"/>
      <c r="AG24" s="653"/>
      <c r="AH24" s="653"/>
      <c r="AI24" s="653"/>
      <c r="AJ24" s="653"/>
      <c r="AK24" s="653"/>
      <c r="AL24" s="653"/>
      <c r="AM24" s="653"/>
      <c r="AN24" s="654"/>
    </row>
    <row r="25" spans="1:40" ht="3" customHeight="1">
      <c r="A25" s="281"/>
      <c r="B25" s="282"/>
      <c r="C25" s="282"/>
      <c r="D25" s="653"/>
      <c r="E25" s="653"/>
      <c r="F25" s="653"/>
      <c r="G25" s="653"/>
      <c r="H25" s="653"/>
      <c r="I25" s="653"/>
      <c r="J25" s="653"/>
      <c r="K25" s="653"/>
      <c r="L25" s="653"/>
      <c r="M25" s="653"/>
      <c r="N25" s="653"/>
      <c r="O25" s="653"/>
      <c r="P25" s="653"/>
      <c r="Q25" s="654"/>
      <c r="R25" s="281"/>
      <c r="S25" s="282"/>
      <c r="T25" s="282"/>
      <c r="U25" s="653"/>
      <c r="V25" s="653"/>
      <c r="W25" s="653"/>
      <c r="X25" s="653"/>
      <c r="Y25" s="653"/>
      <c r="Z25" s="653"/>
      <c r="AA25" s="653"/>
      <c r="AB25" s="653"/>
      <c r="AC25" s="653"/>
      <c r="AD25" s="653"/>
      <c r="AE25" s="653"/>
      <c r="AF25" s="653"/>
      <c r="AG25" s="653"/>
      <c r="AH25" s="653"/>
      <c r="AI25" s="653"/>
      <c r="AJ25" s="653"/>
      <c r="AK25" s="653"/>
      <c r="AL25" s="653"/>
      <c r="AM25" s="653"/>
      <c r="AN25" s="654"/>
    </row>
    <row r="26" spans="1:40" ht="15.75" customHeight="1">
      <c r="A26" s="281"/>
      <c r="B26" s="425"/>
      <c r="C26" s="282"/>
      <c r="D26" s="1266" t="str">
        <f>Cover!AB35</f>
        <v>14 Test / Inspection equipment list</v>
      </c>
      <c r="E26" s="1266"/>
      <c r="F26" s="1266"/>
      <c r="G26" s="1266"/>
      <c r="H26" s="1266"/>
      <c r="I26" s="1266"/>
      <c r="J26" s="1266"/>
      <c r="K26" s="1266"/>
      <c r="L26" s="1266"/>
      <c r="M26" s="1266"/>
      <c r="N26" s="1266"/>
      <c r="O26" s="1266"/>
      <c r="P26" s="1266"/>
      <c r="Q26" s="1267"/>
      <c r="R26" s="281"/>
      <c r="S26" s="425"/>
      <c r="T26" s="282"/>
      <c r="U26" s="1266" t="str">
        <f>Cover!BU35</f>
        <v xml:space="preserve">22 Approval of coating systems </v>
      </c>
      <c r="V26" s="1266"/>
      <c r="W26" s="1266"/>
      <c r="X26" s="1266"/>
      <c r="Y26" s="1266"/>
      <c r="Z26" s="1266"/>
      <c r="AA26" s="1266"/>
      <c r="AB26" s="1266"/>
      <c r="AC26" s="1266"/>
      <c r="AD26" s="1266"/>
      <c r="AE26" s="1266"/>
      <c r="AF26" s="1266"/>
      <c r="AG26" s="1266"/>
      <c r="AH26" s="1266"/>
      <c r="AI26" s="1266"/>
      <c r="AJ26" s="1266"/>
      <c r="AK26" s="1266"/>
      <c r="AL26" s="1266"/>
      <c r="AM26" s="1266"/>
      <c r="AN26" s="1267"/>
    </row>
    <row r="27" spans="1:40" ht="3" customHeight="1">
      <c r="A27" s="281"/>
      <c r="B27" s="282"/>
      <c r="C27" s="282"/>
      <c r="D27" s="653"/>
      <c r="E27" s="653"/>
      <c r="F27" s="653"/>
      <c r="G27" s="653"/>
      <c r="H27" s="653"/>
      <c r="I27" s="653"/>
      <c r="J27" s="653"/>
      <c r="K27" s="653"/>
      <c r="L27" s="653"/>
      <c r="M27" s="653"/>
      <c r="N27" s="653"/>
      <c r="O27" s="653"/>
      <c r="P27" s="653"/>
      <c r="Q27" s="654"/>
      <c r="R27" s="281"/>
      <c r="S27" s="282"/>
      <c r="T27" s="282"/>
      <c r="U27" s="653"/>
      <c r="V27" s="653"/>
      <c r="W27" s="653"/>
      <c r="X27" s="653"/>
      <c r="Y27" s="653"/>
      <c r="Z27" s="653"/>
      <c r="AA27" s="653"/>
      <c r="AB27" s="653"/>
      <c r="AC27" s="653"/>
      <c r="AD27" s="653"/>
      <c r="AE27" s="653"/>
      <c r="AF27" s="653"/>
      <c r="AG27" s="653"/>
      <c r="AH27" s="653"/>
      <c r="AI27" s="653"/>
      <c r="AJ27" s="653"/>
      <c r="AK27" s="653"/>
      <c r="AL27" s="653"/>
      <c r="AM27" s="653"/>
      <c r="AN27" s="654"/>
    </row>
    <row r="28" spans="1:40" ht="3" customHeight="1">
      <c r="A28" s="281"/>
      <c r="B28" s="282"/>
      <c r="C28" s="282"/>
      <c r="D28" s="653"/>
      <c r="E28" s="653"/>
      <c r="F28" s="653"/>
      <c r="G28" s="653"/>
      <c r="H28" s="653"/>
      <c r="I28" s="653"/>
      <c r="J28" s="653"/>
      <c r="K28" s="653"/>
      <c r="L28" s="653"/>
      <c r="M28" s="653"/>
      <c r="N28" s="653"/>
      <c r="O28" s="653"/>
      <c r="P28" s="653"/>
      <c r="Q28" s="654"/>
      <c r="R28" s="281"/>
      <c r="S28" s="282"/>
      <c r="T28" s="282"/>
      <c r="U28" s="653"/>
      <c r="V28" s="653"/>
      <c r="W28" s="653"/>
      <c r="X28" s="653"/>
      <c r="Y28" s="653"/>
      <c r="Z28" s="653"/>
      <c r="AA28" s="653"/>
      <c r="AB28" s="653"/>
      <c r="AC28" s="653"/>
      <c r="AD28" s="653"/>
      <c r="AE28" s="653"/>
      <c r="AF28" s="653"/>
      <c r="AG28" s="653"/>
      <c r="AH28" s="653"/>
      <c r="AI28" s="653"/>
      <c r="AJ28" s="653"/>
      <c r="AK28" s="653"/>
      <c r="AL28" s="653"/>
      <c r="AM28" s="653"/>
      <c r="AN28" s="654"/>
    </row>
    <row r="29" spans="1:40" ht="15.75" customHeight="1">
      <c r="A29" s="281"/>
      <c r="B29" s="425"/>
      <c r="C29" s="282"/>
      <c r="D29" s="1266" t="str">
        <f>Cover!AB37</f>
        <v>15 Capability study testing equipment</v>
      </c>
      <c r="E29" s="1266"/>
      <c r="F29" s="1266"/>
      <c r="G29" s="1266"/>
      <c r="H29" s="1266"/>
      <c r="I29" s="1266"/>
      <c r="J29" s="1266"/>
      <c r="K29" s="1266"/>
      <c r="L29" s="1266"/>
      <c r="M29" s="1266"/>
      <c r="N29" s="1266"/>
      <c r="O29" s="1266"/>
      <c r="P29" s="1266"/>
      <c r="Q29" s="1267"/>
      <c r="R29" s="281"/>
      <c r="S29" s="425"/>
      <c r="T29" s="282"/>
      <c r="U29" s="652">
        <v>23</v>
      </c>
      <c r="V29" s="1266" t="str">
        <f>Cover!BX37</f>
        <v>Other</v>
      </c>
      <c r="W29" s="1266"/>
      <c r="X29" s="1266"/>
      <c r="Y29" s="1266"/>
      <c r="Z29" s="1266"/>
      <c r="AA29" s="1266"/>
      <c r="AB29" s="1266"/>
      <c r="AC29" s="1266"/>
      <c r="AD29" s="1266"/>
      <c r="AE29" s="1266"/>
      <c r="AF29" s="1266"/>
      <c r="AG29" s="1266"/>
      <c r="AH29" s="1266"/>
      <c r="AI29" s="1266"/>
      <c r="AJ29" s="1266"/>
      <c r="AK29" s="1266"/>
      <c r="AL29" s="1266"/>
      <c r="AM29" s="1266"/>
      <c r="AN29" s="1267"/>
    </row>
    <row r="30" spans="1:40" ht="3" customHeight="1" thickBot="1">
      <c r="A30" s="374"/>
      <c r="B30" s="375"/>
      <c r="C30" s="375"/>
      <c r="D30" s="1666"/>
      <c r="E30" s="1666"/>
      <c r="F30" s="1666"/>
      <c r="G30" s="1666"/>
      <c r="H30" s="1666"/>
      <c r="I30" s="1666"/>
      <c r="J30" s="1666"/>
      <c r="K30" s="1666"/>
      <c r="L30" s="1666"/>
      <c r="M30" s="1666"/>
      <c r="N30" s="1666"/>
      <c r="O30" s="1666"/>
      <c r="P30" s="1666"/>
      <c r="Q30" s="1667"/>
      <c r="R30" s="374"/>
      <c r="S30" s="375"/>
      <c r="T30" s="375"/>
      <c r="U30" s="671"/>
      <c r="V30" s="671"/>
      <c r="W30" s="671"/>
      <c r="X30" s="671"/>
      <c r="Y30" s="671"/>
      <c r="Z30" s="671"/>
      <c r="AA30" s="671"/>
      <c r="AB30" s="671"/>
      <c r="AC30" s="671"/>
      <c r="AD30" s="671"/>
      <c r="AE30" s="671"/>
      <c r="AF30" s="671"/>
      <c r="AG30" s="671"/>
      <c r="AH30" s="671"/>
      <c r="AI30" s="671"/>
      <c r="AJ30" s="671"/>
      <c r="AK30" s="671"/>
      <c r="AL30" s="671"/>
      <c r="AM30" s="671"/>
      <c r="AN30" s="256"/>
    </row>
    <row r="31" spans="1:40" ht="3" customHeight="1" thickBot="1"/>
    <row r="32" spans="1:40" ht="16.5">
      <c r="A32" s="1264" t="str">
        <f>Content!A4</f>
        <v>Supplier/Production plant:</v>
      </c>
      <c r="B32" s="1265"/>
      <c r="C32" s="1265"/>
      <c r="D32" s="1265"/>
      <c r="E32" s="1265"/>
      <c r="F32" s="1265"/>
      <c r="G32" s="1265"/>
      <c r="H32" s="1265"/>
      <c r="I32" s="1265"/>
      <c r="J32" s="1265"/>
      <c r="K32" s="923">
        <f>Cover!H41</f>
        <v>0</v>
      </c>
      <c r="L32" s="923"/>
      <c r="M32" s="923"/>
      <c r="N32" s="923"/>
      <c r="O32" s="923"/>
      <c r="P32" s="923"/>
      <c r="Q32" s="924"/>
      <c r="R32" s="1264" t="str">
        <f>Content!Q4</f>
        <v>Customer:</v>
      </c>
      <c r="S32" s="1265"/>
      <c r="T32" s="1265"/>
      <c r="U32" s="1265"/>
      <c r="V32" s="1265"/>
      <c r="W32" s="1265"/>
      <c r="X32" s="1265"/>
      <c r="Y32" s="923">
        <f>Cover!CP41</f>
        <v>0</v>
      </c>
      <c r="Z32" s="923"/>
      <c r="AA32" s="923"/>
      <c r="AB32" s="923"/>
      <c r="AC32" s="923"/>
      <c r="AD32" s="923"/>
      <c r="AE32" s="923"/>
      <c r="AF32" s="923"/>
      <c r="AG32" s="923"/>
      <c r="AH32" s="923"/>
      <c r="AI32" s="923"/>
      <c r="AJ32" s="923"/>
      <c r="AK32" s="923"/>
      <c r="AL32" s="923"/>
      <c r="AM32" s="923"/>
      <c r="AN32" s="924"/>
    </row>
    <row r="33" spans="1:93" ht="16.5" customHeight="1">
      <c r="A33" s="1262" t="str">
        <f>Content!A5</f>
        <v>ID number / DUNS:</v>
      </c>
      <c r="B33" s="1263"/>
      <c r="C33" s="1263"/>
      <c r="D33" s="1263"/>
      <c r="E33" s="1263"/>
      <c r="F33" s="1263"/>
      <c r="G33" s="1263"/>
      <c r="H33" s="1263"/>
      <c r="I33" s="925">
        <f>Cover!AM41</f>
        <v>0</v>
      </c>
      <c r="J33" s="925"/>
      <c r="K33" s="925"/>
      <c r="L33" s="925"/>
      <c r="M33" s="925"/>
      <c r="N33" s="925"/>
      <c r="O33" s="925"/>
      <c r="P33" s="925"/>
      <c r="Q33" s="926"/>
      <c r="R33" s="1262" t="str">
        <f>Content!Q5</f>
        <v>ID number:</v>
      </c>
      <c r="S33" s="1263"/>
      <c r="T33" s="1263"/>
      <c r="U33" s="1263"/>
      <c r="V33" s="1263"/>
      <c r="W33" s="1263"/>
      <c r="X33" s="1263"/>
      <c r="Y33" s="925"/>
      <c r="Z33" s="925"/>
      <c r="AA33" s="925"/>
      <c r="AB33" s="925"/>
      <c r="AC33" s="925"/>
      <c r="AD33" s="925"/>
      <c r="AE33" s="925"/>
      <c r="AF33" s="925"/>
      <c r="AG33" s="925"/>
      <c r="AH33" s="925"/>
      <c r="AI33" s="925"/>
      <c r="AJ33" s="925"/>
      <c r="AK33" s="925"/>
      <c r="AL33" s="925"/>
      <c r="AM33" s="925"/>
      <c r="AN33" s="926"/>
    </row>
    <row r="34" spans="1:93" ht="16.5" customHeight="1">
      <c r="A34" s="1262" t="str">
        <f>Content!A6</f>
        <v>Report No.:</v>
      </c>
      <c r="B34" s="1263"/>
      <c r="C34" s="1263"/>
      <c r="D34" s="1263"/>
      <c r="E34" s="1263"/>
      <c r="F34" s="1263"/>
      <c r="G34" s="925">
        <f>Cover!CP42</f>
        <v>0</v>
      </c>
      <c r="H34" s="925"/>
      <c r="I34" s="925"/>
      <c r="J34" s="925"/>
      <c r="K34" s="925"/>
      <c r="L34" s="1261" t="s">
        <v>69</v>
      </c>
      <c r="M34" s="1261"/>
      <c r="N34" s="927"/>
      <c r="O34" s="927"/>
      <c r="P34" s="927"/>
      <c r="Q34" s="928"/>
      <c r="R34" s="1262" t="str">
        <f>Content!Q6</f>
        <v>Report No.:</v>
      </c>
      <c r="S34" s="1263"/>
      <c r="T34" s="1263"/>
      <c r="U34" s="1263"/>
      <c r="V34" s="1263"/>
      <c r="W34" s="1263"/>
      <c r="X34" s="1263"/>
      <c r="Y34" s="925"/>
      <c r="Z34" s="925"/>
      <c r="AA34" s="925"/>
      <c r="AB34" s="925"/>
      <c r="AC34" s="925"/>
      <c r="AD34" s="925"/>
      <c r="AE34" s="925"/>
      <c r="AF34" s="925"/>
      <c r="AG34" s="925"/>
      <c r="AH34" s="1261" t="s">
        <v>69</v>
      </c>
      <c r="AI34" s="1261"/>
      <c r="AJ34" s="1261"/>
      <c r="AK34" s="927"/>
      <c r="AL34" s="927"/>
      <c r="AM34" s="927"/>
      <c r="AN34" s="928"/>
    </row>
    <row r="35" spans="1:93" ht="16.5" customHeight="1">
      <c r="A35" s="1239" t="str">
        <f>Content!A7</f>
        <v>Part description:</v>
      </c>
      <c r="B35" s="1240"/>
      <c r="C35" s="1240"/>
      <c r="D35" s="1240"/>
      <c r="E35" s="1240"/>
      <c r="F35" s="1240"/>
      <c r="G35" s="938">
        <f>Cover!G42</f>
        <v>0</v>
      </c>
      <c r="H35" s="938"/>
      <c r="I35" s="938"/>
      <c r="J35" s="938"/>
      <c r="K35" s="938"/>
      <c r="L35" s="938"/>
      <c r="M35" s="938"/>
      <c r="N35" s="938"/>
      <c r="O35" s="938"/>
      <c r="P35" s="938"/>
      <c r="Q35" s="939"/>
      <c r="R35" s="1239" t="str">
        <f>Content!A7</f>
        <v>Part description:</v>
      </c>
      <c r="S35" s="1240"/>
      <c r="T35" s="1240"/>
      <c r="U35" s="1240"/>
      <c r="V35" s="1240"/>
      <c r="W35" s="1240"/>
      <c r="X35" s="1240"/>
      <c r="Y35" s="938"/>
      <c r="Z35" s="938"/>
      <c r="AA35" s="938"/>
      <c r="AB35" s="938"/>
      <c r="AC35" s="938"/>
      <c r="AD35" s="938"/>
      <c r="AE35" s="938"/>
      <c r="AF35" s="938"/>
      <c r="AG35" s="938"/>
      <c r="AH35" s="938"/>
      <c r="AI35" s="938"/>
      <c r="AJ35" s="938"/>
      <c r="AK35" s="938"/>
      <c r="AL35" s="938"/>
      <c r="AM35" s="938"/>
      <c r="AN35" s="939"/>
    </row>
    <row r="36" spans="1:93" ht="16.5" customHeight="1">
      <c r="A36" s="1242" t="str">
        <f>Cover!B43</f>
        <v>Part number:</v>
      </c>
      <c r="B36" s="1243"/>
      <c r="C36" s="1243"/>
      <c r="D36" s="1243"/>
      <c r="E36" s="1243"/>
      <c r="F36" s="1243"/>
      <c r="G36" s="1119">
        <f>Cover!G43</f>
        <v>0</v>
      </c>
      <c r="H36" s="1119"/>
      <c r="I36" s="1119"/>
      <c r="J36" s="1119"/>
      <c r="K36" s="1119"/>
      <c r="L36" s="1119"/>
      <c r="M36" s="1119"/>
      <c r="N36" s="1119"/>
      <c r="O36" s="1119"/>
      <c r="P36" s="1119"/>
      <c r="Q36" s="1120"/>
      <c r="R36" s="1242" t="str">
        <f>A36</f>
        <v>Part number:</v>
      </c>
      <c r="S36" s="1243"/>
      <c r="T36" s="1243"/>
      <c r="U36" s="1243"/>
      <c r="V36" s="1243"/>
      <c r="W36" s="1243"/>
      <c r="X36" s="1243"/>
      <c r="Y36" s="1119"/>
      <c r="Z36" s="1119"/>
      <c r="AA36" s="1119"/>
      <c r="AB36" s="1119"/>
      <c r="AC36" s="1119"/>
      <c r="AD36" s="1119"/>
      <c r="AE36" s="1119"/>
      <c r="AF36" s="1119"/>
      <c r="AG36" s="1119"/>
      <c r="AH36" s="1119"/>
      <c r="AI36" s="1119"/>
      <c r="AJ36" s="1119"/>
      <c r="AK36" s="1119"/>
      <c r="AL36" s="1119"/>
      <c r="AM36" s="1119"/>
      <c r="AN36" s="1120"/>
    </row>
    <row r="37" spans="1:93" ht="16.5" customHeight="1">
      <c r="A37" s="1242" t="str">
        <f>Content!Q7</f>
        <v>Drawing number:</v>
      </c>
      <c r="B37" s="1243"/>
      <c r="C37" s="1243"/>
      <c r="D37" s="1243"/>
      <c r="E37" s="1243"/>
      <c r="F37" s="1243"/>
      <c r="G37" s="1243"/>
      <c r="H37" s="1119">
        <f>Cover!G44</f>
        <v>0</v>
      </c>
      <c r="I37" s="1119"/>
      <c r="J37" s="1119"/>
      <c r="K37" s="1119"/>
      <c r="L37" s="1119"/>
      <c r="M37" s="1119"/>
      <c r="N37" s="1119"/>
      <c r="O37" s="1119"/>
      <c r="P37" s="1119"/>
      <c r="Q37" s="1120"/>
      <c r="R37" s="1242" t="str">
        <f>Content!Q7</f>
        <v>Drawing number:</v>
      </c>
      <c r="S37" s="1243"/>
      <c r="T37" s="1243"/>
      <c r="U37" s="1243"/>
      <c r="V37" s="1243"/>
      <c r="W37" s="1243"/>
      <c r="X37" s="1243"/>
      <c r="Y37" s="1243"/>
      <c r="Z37" s="1243"/>
      <c r="AA37" s="1119"/>
      <c r="AB37" s="1119"/>
      <c r="AC37" s="1119"/>
      <c r="AD37" s="1119"/>
      <c r="AE37" s="1119"/>
      <c r="AF37" s="1119"/>
      <c r="AG37" s="1119"/>
      <c r="AH37" s="1119"/>
      <c r="AI37" s="1119"/>
      <c r="AJ37" s="1119"/>
      <c r="AK37" s="1119"/>
      <c r="AL37" s="1119"/>
      <c r="AM37" s="1119"/>
      <c r="AN37" s="1120"/>
    </row>
    <row r="38" spans="1:93" ht="16.5" customHeight="1" thickBot="1">
      <c r="A38" s="1272" t="str">
        <f>Content!Q8</f>
        <v>Issue / Date:</v>
      </c>
      <c r="B38" s="1273"/>
      <c r="C38" s="1273"/>
      <c r="D38" s="1273"/>
      <c r="E38" s="1273"/>
      <c r="F38" s="1273"/>
      <c r="G38" s="940">
        <f>Cover!G45</f>
        <v>0</v>
      </c>
      <c r="H38" s="940"/>
      <c r="I38" s="940"/>
      <c r="J38" s="940"/>
      <c r="K38" s="940"/>
      <c r="L38" s="940"/>
      <c r="M38" s="940"/>
      <c r="N38" s="940"/>
      <c r="O38" s="940"/>
      <c r="P38" s="940"/>
      <c r="Q38" s="941"/>
      <c r="R38" s="1272" t="str">
        <f>Content!Q8</f>
        <v>Issue / Date:</v>
      </c>
      <c r="S38" s="1273"/>
      <c r="T38" s="1273"/>
      <c r="U38" s="1273"/>
      <c r="V38" s="1273"/>
      <c r="W38" s="1273"/>
      <c r="X38" s="1273"/>
      <c r="Y38" s="940"/>
      <c r="Z38" s="940"/>
      <c r="AA38" s="940"/>
      <c r="AB38" s="940"/>
      <c r="AC38" s="940"/>
      <c r="AD38" s="940"/>
      <c r="AE38" s="940"/>
      <c r="AF38" s="940"/>
      <c r="AG38" s="940"/>
      <c r="AH38" s="940"/>
      <c r="AI38" s="940"/>
      <c r="AJ38" s="940"/>
      <c r="AK38" s="940"/>
      <c r="AL38" s="940"/>
      <c r="AM38" s="940"/>
      <c r="AN38" s="941"/>
    </row>
    <row r="39" spans="1:93" ht="3" customHeight="1" thickBot="1">
      <c r="A39" s="651"/>
      <c r="B39" s="651"/>
      <c r="C39" s="651"/>
      <c r="D39" s="651"/>
      <c r="E39" s="651"/>
      <c r="F39" s="651"/>
      <c r="G39" s="131"/>
      <c r="H39" s="131"/>
      <c r="I39" s="131"/>
      <c r="J39" s="131"/>
      <c r="K39" s="131"/>
      <c r="L39" s="131"/>
      <c r="M39" s="131"/>
      <c r="N39" s="131"/>
      <c r="O39" s="131"/>
      <c r="P39" s="131"/>
      <c r="Q39" s="131"/>
      <c r="R39" s="651"/>
      <c r="S39" s="651"/>
      <c r="T39" s="651"/>
      <c r="U39" s="651"/>
      <c r="V39" s="651"/>
      <c r="W39" s="651"/>
      <c r="X39" s="651"/>
      <c r="Y39" s="131"/>
      <c r="Z39" s="131"/>
      <c r="AA39" s="131"/>
      <c r="AB39" s="131"/>
      <c r="AC39" s="131"/>
      <c r="AD39" s="131"/>
      <c r="AE39" s="131"/>
      <c r="AF39" s="131"/>
      <c r="AG39" s="131"/>
      <c r="AH39" s="131"/>
      <c r="AI39" s="131"/>
      <c r="AJ39" s="131"/>
      <c r="AK39" s="131"/>
      <c r="AL39" s="131"/>
      <c r="AM39" s="131"/>
      <c r="AN39" s="131"/>
    </row>
    <row r="40" spans="1:93" ht="20.25" customHeight="1" thickBot="1">
      <c r="A40" s="1663" t="str">
        <f>VLOOKUP("qualitative evaluation",Translations!$A:$T,MATCH(Cover!DR19,Translations!A2:M2,0),0)</f>
        <v>Qualitative Evaluation</v>
      </c>
      <c r="B40" s="1664"/>
      <c r="C40" s="1664"/>
      <c r="D40" s="1664"/>
      <c r="E40" s="1664"/>
      <c r="F40" s="1664"/>
      <c r="G40" s="1664"/>
      <c r="H40" s="1664"/>
      <c r="I40" s="1664"/>
      <c r="J40" s="1664"/>
      <c r="K40" s="1664"/>
      <c r="L40" s="1664"/>
      <c r="M40" s="1664"/>
      <c r="N40" s="1664"/>
      <c r="O40" s="1664"/>
      <c r="P40" s="1664"/>
      <c r="Q40" s="1664"/>
      <c r="R40" s="1664"/>
      <c r="S40" s="1664"/>
      <c r="T40" s="1664"/>
      <c r="U40" s="1664"/>
      <c r="V40" s="1664"/>
      <c r="W40" s="1664"/>
      <c r="X40" s="1664"/>
      <c r="Y40" s="1664"/>
      <c r="Z40" s="1664"/>
      <c r="AA40" s="1664"/>
      <c r="AB40" s="1664"/>
      <c r="AC40" s="1664"/>
      <c r="AD40" s="1664"/>
      <c r="AE40" s="1664"/>
      <c r="AF40" s="1664"/>
      <c r="AG40" s="1664"/>
      <c r="AH40" s="1664"/>
      <c r="AI40" s="1664"/>
      <c r="AJ40" s="1664"/>
      <c r="AK40" s="1664"/>
      <c r="AL40" s="1664"/>
      <c r="AM40" s="1664"/>
      <c r="AN40" s="1665"/>
    </row>
    <row r="41" spans="1:93" ht="6" customHeight="1">
      <c r="A41" s="517"/>
      <c r="B41" s="518"/>
      <c r="C41" s="518"/>
      <c r="D41" s="518"/>
      <c r="E41" s="518"/>
      <c r="F41" s="518"/>
      <c r="G41" s="518"/>
      <c r="H41" s="518"/>
      <c r="I41" s="518"/>
      <c r="J41" s="518"/>
      <c r="K41" s="518"/>
      <c r="L41" s="518"/>
      <c r="M41" s="518"/>
      <c r="N41" s="518"/>
      <c r="O41" s="518"/>
      <c r="P41" s="518"/>
      <c r="Q41" s="518"/>
      <c r="R41" s="25"/>
      <c r="S41" s="25"/>
      <c r="T41" s="25"/>
      <c r="U41" s="25"/>
      <c r="V41" s="25"/>
      <c r="W41" s="25"/>
      <c r="X41" s="25"/>
      <c r="Y41" s="25"/>
      <c r="Z41" s="25"/>
      <c r="AA41" s="1668"/>
      <c r="AB41" s="1668"/>
      <c r="AC41" s="1668"/>
      <c r="AD41" s="1668"/>
      <c r="AE41" s="1668"/>
      <c r="AF41" s="1668"/>
      <c r="AG41" s="1668"/>
      <c r="AH41" s="1668"/>
      <c r="AI41" s="1668"/>
      <c r="AJ41" s="1668"/>
      <c r="AK41" s="1668"/>
      <c r="AL41" s="1668"/>
      <c r="AM41" s="1668"/>
      <c r="AN41" s="1669"/>
      <c r="AP41" s="76"/>
      <c r="AT41" s="76"/>
      <c r="AU41" s="76"/>
      <c r="AV41" s="76"/>
      <c r="AW41" s="76"/>
      <c r="AX41" s="76"/>
      <c r="AY41" s="76"/>
      <c r="AZ41" s="76"/>
      <c r="BA41" s="76"/>
      <c r="BB41" s="76"/>
      <c r="BC41" s="76"/>
      <c r="BD41" s="76"/>
      <c r="BE41" s="76"/>
      <c r="BF41" s="76"/>
      <c r="BG41" s="76"/>
      <c r="BH41" s="76"/>
      <c r="BI41" s="76"/>
      <c r="BJ41" s="76"/>
      <c r="BK41" s="76"/>
      <c r="BL41" s="76"/>
      <c r="BM41" s="76"/>
      <c r="BN41" s="76"/>
      <c r="BO41" s="76"/>
      <c r="BP41" s="76"/>
      <c r="BQ41" s="76"/>
      <c r="BR41" s="76"/>
      <c r="BS41" s="76"/>
      <c r="BT41" s="76"/>
      <c r="BU41" s="76"/>
      <c r="BV41" s="76"/>
      <c r="BW41" s="76"/>
      <c r="BX41" s="76"/>
      <c r="BY41" s="76"/>
      <c r="BZ41" s="76"/>
      <c r="CA41" s="76"/>
      <c r="CB41" s="76"/>
      <c r="CC41" s="76"/>
      <c r="CD41" s="76"/>
      <c r="CE41" s="76"/>
      <c r="CF41" s="76"/>
      <c r="CG41" s="76"/>
      <c r="CH41" s="76"/>
      <c r="CI41" s="76"/>
      <c r="CJ41" s="76"/>
      <c r="CK41" s="76"/>
      <c r="CL41" s="76"/>
      <c r="CM41" s="76"/>
      <c r="CN41" s="76"/>
      <c r="CO41" s="76"/>
    </row>
    <row r="42" spans="1:93" ht="13.5" customHeight="1">
      <c r="A42" s="517"/>
      <c r="B42" s="519"/>
      <c r="C42" s="519"/>
      <c r="D42" s="1656" t="str">
        <f>VLOOKUP("amount of manufactured parts during run@rate",Translations!$A:$T,MATCH(Cover!DR19,Translations!A2:M2,0),0)</f>
        <v>Amount of parts manufactured during the Run@Rate</v>
      </c>
      <c r="E42" s="1656"/>
      <c r="F42" s="1656"/>
      <c r="G42" s="1656"/>
      <c r="H42" s="1656"/>
      <c r="I42" s="1656"/>
      <c r="J42" s="1656"/>
      <c r="K42" s="1656"/>
      <c r="L42" s="25"/>
      <c r="M42" s="25"/>
      <c r="N42" s="25"/>
      <c r="O42" s="672"/>
      <c r="P42" s="1659" t="s">
        <v>1413</v>
      </c>
      <c r="Q42" s="1660"/>
      <c r="R42" s="1660"/>
      <c r="S42" s="1661"/>
      <c r="T42" s="579"/>
      <c r="U42" s="1658" t="str">
        <f>VLOOKUP("pc",Translations!$A:$T,MATCH(Cover!DR19,Translations!A2:M2,0),0)</f>
        <v>pieces</v>
      </c>
      <c r="V42" s="1658"/>
      <c r="AC42" s="436"/>
      <c r="AD42" s="436"/>
      <c r="AE42" s="436"/>
      <c r="AF42" s="436"/>
      <c r="AG42" s="436"/>
      <c r="AH42" s="436"/>
      <c r="AI42" s="436"/>
      <c r="AJ42" s="436"/>
      <c r="AK42" s="436"/>
      <c r="AL42" s="436"/>
      <c r="AM42" s="436"/>
      <c r="AN42" s="438"/>
      <c r="AP42" s="76"/>
      <c r="AQ42" s="137"/>
      <c r="AR42" s="137"/>
      <c r="AT42" s="76"/>
      <c r="AV42" s="76"/>
      <c r="AW42" s="76"/>
      <c r="AY42" s="76"/>
      <c r="AZ42" s="76"/>
      <c r="BB42" s="76"/>
      <c r="BE42" s="76"/>
      <c r="BG42" s="76"/>
      <c r="BH42" s="76"/>
      <c r="BI42" s="76"/>
      <c r="BJ42" s="25"/>
      <c r="BL42" s="76"/>
      <c r="BM42" s="76"/>
      <c r="BN42" s="76"/>
      <c r="BO42" s="76"/>
      <c r="BP42" s="76"/>
      <c r="BQ42" s="76"/>
      <c r="BR42" s="76"/>
      <c r="BS42" s="76"/>
      <c r="BT42" s="76"/>
      <c r="BU42" s="76"/>
      <c r="BV42" s="76"/>
      <c r="BW42" s="76"/>
      <c r="BX42" s="76"/>
      <c r="BY42" s="76"/>
      <c r="BZ42" s="76"/>
      <c r="CA42" s="76"/>
      <c r="CB42" s="25"/>
      <c r="CC42" s="76"/>
      <c r="CD42" s="76"/>
      <c r="CE42" s="76"/>
      <c r="CF42" s="25"/>
      <c r="CG42" s="76"/>
      <c r="CH42" s="76"/>
      <c r="CI42" s="76"/>
      <c r="CJ42" s="76"/>
      <c r="CK42" s="76"/>
      <c r="CL42" s="76"/>
      <c r="CM42" s="76"/>
      <c r="CN42" s="76"/>
      <c r="CO42" s="76"/>
    </row>
    <row r="43" spans="1:93" ht="6" customHeight="1">
      <c r="A43" s="517"/>
      <c r="B43" s="519"/>
      <c r="C43" s="519"/>
      <c r="D43" s="1657"/>
      <c r="E43" s="1657"/>
      <c r="F43" s="1657"/>
      <c r="G43" s="1657"/>
      <c r="H43" s="1657"/>
      <c r="I43" s="1657"/>
      <c r="J43" s="1657"/>
      <c r="K43" s="1657"/>
      <c r="L43" s="660"/>
      <c r="M43" s="660"/>
      <c r="N43" s="660"/>
      <c r="O43" s="660"/>
      <c r="P43" s="660"/>
      <c r="Q43" s="660"/>
      <c r="R43" s="549"/>
      <c r="S43" s="549"/>
      <c r="T43" s="25"/>
      <c r="U43" s="75"/>
      <c r="V43" s="75"/>
      <c r="W43" s="25"/>
      <c r="X43" s="25"/>
      <c r="Y43" s="25"/>
      <c r="Z43" s="25"/>
      <c r="AA43" s="436"/>
      <c r="AB43" s="436"/>
      <c r="AC43" s="436"/>
      <c r="AD43" s="436"/>
      <c r="AE43" s="436"/>
      <c r="AF43" s="436"/>
      <c r="AG43" s="436"/>
      <c r="AH43" s="436"/>
      <c r="AI43" s="436"/>
      <c r="AJ43" s="436"/>
      <c r="AK43" s="436"/>
      <c r="AL43" s="436"/>
      <c r="AM43" s="436"/>
      <c r="AN43" s="438"/>
      <c r="AT43" s="76"/>
    </row>
    <row r="44" spans="1:93" ht="15" customHeight="1" thickBot="1">
      <c r="A44" s="520"/>
      <c r="B44" s="519"/>
      <c r="C44" s="521"/>
      <c r="D44" s="1676" t="str">
        <f>VLOOKUP("amount of n.o.k. parts",Translations!$A:$T,MATCH(Cover!DR19,Translations!A2:M2,0),0)</f>
        <v>Amount of n.O.K. parts</v>
      </c>
      <c r="E44" s="1676"/>
      <c r="F44" s="1676"/>
      <c r="G44" s="1676"/>
      <c r="H44" s="1676"/>
      <c r="I44" s="1676"/>
      <c r="J44" s="1676"/>
      <c r="K44" s="1676"/>
      <c r="L44" s="402"/>
      <c r="M44" s="402"/>
      <c r="N44" s="402"/>
      <c r="Q44" s="1612" t="e">
        <f>Q46+Q48+Q50</f>
        <v>#VALUE!</v>
      </c>
      <c r="R44" s="1612"/>
      <c r="S44" s="1612"/>
      <c r="T44" s="664"/>
      <c r="U44" s="1616" t="str">
        <f>VLOOKUP("pc",Translations!$A:$T,MATCH(Cover!DR19,Translations!A2:M2,0),0)</f>
        <v>pieces</v>
      </c>
      <c r="V44" s="1616"/>
      <c r="W44" s="402"/>
      <c r="X44" s="75"/>
      <c r="Y44" s="75"/>
      <c r="Z44" s="25"/>
      <c r="AA44" s="1670"/>
      <c r="AB44" s="1670"/>
      <c r="AC44" s="1670"/>
      <c r="AD44" s="1670"/>
      <c r="AE44" s="1670"/>
      <c r="AF44" s="1670"/>
      <c r="AG44" s="1670"/>
      <c r="AH44" s="1670"/>
      <c r="AI44" s="1670"/>
      <c r="AJ44" s="1670"/>
      <c r="AK44" s="1670"/>
      <c r="AL44" s="1670"/>
      <c r="AM44" s="1670"/>
      <c r="AN44" s="1671"/>
      <c r="AY44" s="76"/>
    </row>
    <row r="45" spans="1:93" ht="3.75" customHeight="1" thickTop="1">
      <c r="A45" s="520"/>
      <c r="B45" s="519"/>
      <c r="C45" s="522"/>
      <c r="D45" s="1656"/>
      <c r="E45" s="1656"/>
      <c r="F45" s="1656"/>
      <c r="G45" s="1656"/>
      <c r="H45" s="1656"/>
      <c r="I45" s="1656"/>
      <c r="J45" s="1656"/>
      <c r="K45" s="1656"/>
      <c r="L45" s="658"/>
      <c r="M45" s="658"/>
      <c r="N45" s="658"/>
      <c r="R45" s="553"/>
      <c r="S45" s="553"/>
      <c r="T45" s="553"/>
      <c r="U45" s="76"/>
      <c r="V45" s="70"/>
      <c r="W45" s="25"/>
      <c r="X45" s="25"/>
      <c r="Y45" s="25"/>
      <c r="Z45" s="25"/>
      <c r="AA45" s="1670"/>
      <c r="AB45" s="1670"/>
      <c r="AC45" s="1670"/>
      <c r="AD45" s="1670"/>
      <c r="AE45" s="1670"/>
      <c r="AF45" s="1670"/>
      <c r="AG45" s="1670"/>
      <c r="AH45" s="1670"/>
      <c r="AI45" s="1670"/>
      <c r="AJ45" s="1670"/>
      <c r="AK45" s="1670"/>
      <c r="AL45" s="1670"/>
      <c r="AM45" s="1670"/>
      <c r="AN45" s="1671"/>
      <c r="AZ45" s="76"/>
    </row>
    <row r="46" spans="1:93" ht="13.5" customHeight="1" thickBot="1">
      <c r="A46" s="523"/>
      <c r="B46" s="519"/>
      <c r="C46" s="519"/>
      <c r="D46" s="524"/>
      <c r="E46" s="1655" t="str">
        <f>VLOOKUP("n.O.K. - visual check not according to drawing / border samples",Translations!$A:$T,MATCH(Cover!DR19,Translations!A2:M2,0),0)</f>
        <v>nOK - visual check not according to drawing / border samples</v>
      </c>
      <c r="F46" s="1655"/>
      <c r="G46" s="1655"/>
      <c r="H46" s="1655"/>
      <c r="I46" s="1655"/>
      <c r="J46" s="1655"/>
      <c r="K46" s="1655"/>
      <c r="L46" s="1655"/>
      <c r="M46" s="1655"/>
      <c r="N46" s="1655"/>
      <c r="Q46" s="1613" t="s">
        <v>1413</v>
      </c>
      <c r="R46" s="1614"/>
      <c r="S46" s="1615"/>
      <c r="T46" s="665"/>
      <c r="U46" s="1617" t="str">
        <f>VLOOKUP("pc",Translations!$A:$T,MATCH(Cover!DR19,Translations!A2:M2,0),0)</f>
        <v>pieces</v>
      </c>
      <c r="V46" s="1617"/>
      <c r="W46" s="554"/>
      <c r="X46" s="1618" t="e">
        <f>(Q46/P42)*100</f>
        <v>#VALUE!</v>
      </c>
      <c r="Y46" s="1618"/>
      <c r="Z46" s="661" t="s">
        <v>842</v>
      </c>
      <c r="AF46" s="436"/>
      <c r="AG46" s="436"/>
      <c r="AH46" s="436"/>
      <c r="AI46" s="436"/>
      <c r="AJ46" s="436"/>
      <c r="AK46" s="436"/>
      <c r="AL46" s="436"/>
      <c r="AM46" s="436"/>
      <c r="AN46" s="438"/>
    </row>
    <row r="47" spans="1:93" ht="3.75" customHeight="1" thickTop="1">
      <c r="A47" s="523"/>
      <c r="B47" s="519"/>
      <c r="C47" s="522"/>
      <c r="D47" s="525"/>
      <c r="E47" s="1655"/>
      <c r="F47" s="1655"/>
      <c r="G47" s="1655"/>
      <c r="H47" s="1655"/>
      <c r="I47" s="1655"/>
      <c r="J47" s="1655"/>
      <c r="K47" s="1655"/>
      <c r="L47" s="1655"/>
      <c r="M47" s="1655"/>
      <c r="N47" s="1655"/>
      <c r="R47" s="553"/>
      <c r="S47" s="553"/>
      <c r="T47" s="553"/>
      <c r="U47" s="561"/>
      <c r="V47" s="562"/>
      <c r="W47" s="70"/>
      <c r="X47" s="70"/>
      <c r="Y47" s="70"/>
      <c r="Z47" s="70"/>
      <c r="AA47" s="436"/>
      <c r="AB47" s="436"/>
      <c r="AC47" s="436"/>
      <c r="AD47" s="436"/>
      <c r="AE47" s="436"/>
      <c r="AF47" s="436"/>
      <c r="AG47" s="436"/>
      <c r="AH47" s="436"/>
      <c r="AI47" s="436"/>
      <c r="AJ47" s="436"/>
      <c r="AK47" s="436"/>
      <c r="AL47" s="436"/>
      <c r="AM47" s="436"/>
      <c r="AN47" s="438"/>
    </row>
    <row r="48" spans="1:93" ht="13.5" customHeight="1" thickBot="1">
      <c r="A48" s="523"/>
      <c r="B48" s="519"/>
      <c r="C48" s="519"/>
      <c r="D48" s="525"/>
      <c r="E48" s="1655" t="str">
        <f>VLOOKUP("n.o.k. - dimensional / material not according to drawing",Translations!$A:$T,MATCH(Cover!DR19,Translations!A2:M2,0),0)</f>
        <v>nOK - dimensional / material not according to drawing</v>
      </c>
      <c r="F48" s="1655"/>
      <c r="G48" s="1655"/>
      <c r="H48" s="1655"/>
      <c r="I48" s="1655"/>
      <c r="J48" s="1655"/>
      <c r="K48" s="1655"/>
      <c r="L48" s="1655"/>
      <c r="M48" s="1655"/>
      <c r="N48" s="1655"/>
      <c r="Q48" s="1613" t="s">
        <v>1413</v>
      </c>
      <c r="R48" s="1614"/>
      <c r="S48" s="1615"/>
      <c r="T48" s="659"/>
      <c r="U48" s="1617" t="str">
        <f>VLOOKUP("pc",Translations!$A:$T,MATCH(Cover!DR19,Translations!A2:M2,0),0)</f>
        <v>pieces</v>
      </c>
      <c r="V48" s="1617"/>
      <c r="W48" s="526"/>
      <c r="X48" s="1618" t="e">
        <f>(Q48/P42)*100</f>
        <v>#VALUE!</v>
      </c>
      <c r="Y48" s="1618"/>
      <c r="Z48" s="661" t="s">
        <v>842</v>
      </c>
      <c r="AA48" s="1670"/>
      <c r="AB48" s="1670"/>
      <c r="AC48" s="1670"/>
      <c r="AD48" s="1670"/>
      <c r="AE48" s="1670"/>
      <c r="AF48" s="1670"/>
      <c r="AG48" s="1670"/>
      <c r="AH48" s="1670"/>
      <c r="AI48" s="1670"/>
      <c r="AJ48" s="1670"/>
      <c r="AK48" s="1670"/>
      <c r="AL48" s="1670"/>
      <c r="AM48" s="1670"/>
      <c r="AN48" s="1671"/>
    </row>
    <row r="49" spans="1:40" ht="3.75" customHeight="1" thickTop="1">
      <c r="A49" s="523"/>
      <c r="B49" s="519"/>
      <c r="C49" s="522"/>
      <c r="D49" s="525"/>
      <c r="E49" s="1655"/>
      <c r="F49" s="1655"/>
      <c r="G49" s="1655"/>
      <c r="H49" s="1655"/>
      <c r="I49" s="1655"/>
      <c r="J49" s="1655"/>
      <c r="K49" s="1655"/>
      <c r="L49" s="1655"/>
      <c r="M49" s="1655"/>
      <c r="N49" s="1655"/>
      <c r="R49" s="553"/>
      <c r="S49" s="553"/>
      <c r="T49" s="553"/>
      <c r="U49" s="561"/>
      <c r="V49" s="562"/>
      <c r="W49" s="70"/>
      <c r="X49" s="70"/>
      <c r="Y49" s="70"/>
      <c r="Z49" s="70"/>
      <c r="AA49" s="1670"/>
      <c r="AB49" s="1670"/>
      <c r="AC49" s="1670"/>
      <c r="AD49" s="1670"/>
      <c r="AE49" s="1670"/>
      <c r="AF49" s="1670"/>
      <c r="AG49" s="1670"/>
      <c r="AH49" s="1670"/>
      <c r="AI49" s="1670"/>
      <c r="AJ49" s="1670"/>
      <c r="AK49" s="1670"/>
      <c r="AL49" s="1670"/>
      <c r="AM49" s="1670"/>
      <c r="AN49" s="1671"/>
    </row>
    <row r="50" spans="1:40" ht="13.5" customHeight="1" thickBot="1">
      <c r="A50" s="523"/>
      <c r="B50" s="519"/>
      <c r="C50" s="519"/>
      <c r="D50" s="525"/>
      <c r="E50" s="1655" t="str">
        <f>VLOOKUP("n.o.k. - function not according to drawing / process verifification plan",Translations!$A:$T,MATCH(Cover!DR19,Translations!A2:M2,0),0)</f>
        <v>nOK - function not according to drawing / process verification plan</v>
      </c>
      <c r="F50" s="1655"/>
      <c r="G50" s="1655"/>
      <c r="H50" s="1655"/>
      <c r="I50" s="1655"/>
      <c r="J50" s="1655"/>
      <c r="K50" s="1655"/>
      <c r="L50" s="1655"/>
      <c r="M50" s="1655"/>
      <c r="N50" s="1655"/>
      <c r="Q50" s="1613" t="s">
        <v>1413</v>
      </c>
      <c r="R50" s="1614"/>
      <c r="S50" s="1615"/>
      <c r="T50" s="659"/>
      <c r="U50" s="1617" t="str">
        <f>VLOOKUP("pc",Translations!$A:$T,MATCH(Cover!DR19,Translations!A2:M2,0),0)</f>
        <v>pieces</v>
      </c>
      <c r="V50" s="1617"/>
      <c r="W50" s="662"/>
      <c r="X50" s="1618" t="e">
        <f>(Q50/P42)*100</f>
        <v>#VALUE!</v>
      </c>
      <c r="Y50" s="1618"/>
      <c r="Z50" s="661" t="s">
        <v>842</v>
      </c>
      <c r="AA50" s="1670"/>
      <c r="AB50" s="1670"/>
      <c r="AC50" s="1670"/>
      <c r="AD50" s="1670"/>
      <c r="AE50" s="1670"/>
      <c r="AF50" s="1670"/>
      <c r="AG50" s="1670"/>
      <c r="AH50" s="1670"/>
      <c r="AI50" s="1670"/>
      <c r="AJ50" s="1670"/>
      <c r="AK50" s="1670"/>
      <c r="AL50" s="1670"/>
      <c r="AM50" s="1670"/>
      <c r="AN50" s="1671"/>
    </row>
    <row r="51" spans="1:40" ht="12" customHeight="1" thickTop="1">
      <c r="A51" s="523"/>
      <c r="B51" s="519"/>
      <c r="C51" s="522"/>
      <c r="D51" s="525"/>
      <c r="E51" s="1655"/>
      <c r="F51" s="1655"/>
      <c r="G51" s="1655"/>
      <c r="H51" s="1655"/>
      <c r="I51" s="1655"/>
      <c r="J51" s="1655"/>
      <c r="K51" s="1655"/>
      <c r="L51" s="1655"/>
      <c r="M51" s="1655"/>
      <c r="N51" s="1655"/>
      <c r="O51" s="658"/>
      <c r="P51" s="658"/>
      <c r="Q51" s="658"/>
      <c r="R51" s="75"/>
      <c r="S51" s="25"/>
      <c r="T51" s="25"/>
      <c r="U51" s="25"/>
      <c r="V51" s="25"/>
      <c r="W51" s="25"/>
      <c r="X51" s="25"/>
      <c r="Y51" s="25"/>
      <c r="Z51" s="25"/>
      <c r="AA51" s="1670"/>
      <c r="AB51" s="1670"/>
      <c r="AC51" s="1670"/>
      <c r="AD51" s="1670"/>
      <c r="AE51" s="1670"/>
      <c r="AF51" s="1670"/>
      <c r="AG51" s="1670"/>
      <c r="AH51" s="1670"/>
      <c r="AI51" s="1670"/>
      <c r="AJ51" s="1670"/>
      <c r="AK51" s="1670"/>
      <c r="AL51" s="1670"/>
      <c r="AM51" s="1670"/>
      <c r="AN51" s="1671"/>
    </row>
    <row r="52" spans="1:40" s="25" customFormat="1" ht="15" customHeight="1" thickBot="1">
      <c r="A52" s="520"/>
      <c r="B52" s="519"/>
      <c r="C52" s="657"/>
      <c r="D52" s="1672" t="str">
        <f>VLOOKUP("actual scrap",Translations!$A:$T,MATCH(Cover!DR19,Translations!A2:M2,0),0)</f>
        <v>Actual scrap</v>
      </c>
      <c r="E52" s="1672"/>
      <c r="F52" s="1672"/>
      <c r="G52" s="1672"/>
      <c r="H52" s="1672"/>
      <c r="I52" s="1612" t="e">
        <f>Q44-I56</f>
        <v>#VALUE!</v>
      </c>
      <c r="J52" s="1612"/>
      <c r="K52" s="1674" t="str">
        <f>VLOOKUP("pc",Translations!$A:$T,MATCH(Cover!DR19,Translations!A2:M2,0),0)</f>
        <v>pieces</v>
      </c>
      <c r="L52" s="1674"/>
      <c r="M52" s="1675" t="e">
        <f>(I52/P42)*100</f>
        <v>#VALUE!</v>
      </c>
      <c r="N52" s="1675"/>
      <c r="O52" s="556"/>
      <c r="P52" s="559" t="s">
        <v>842</v>
      </c>
      <c r="Q52" s="528"/>
      <c r="R52" s="528"/>
      <c r="S52" s="529"/>
      <c r="T52" s="529"/>
      <c r="U52" s="529"/>
      <c r="V52" s="529"/>
      <c r="W52" s="529"/>
      <c r="X52" s="529"/>
      <c r="Y52" s="529"/>
      <c r="Z52" s="529"/>
      <c r="AA52" s="436"/>
      <c r="AB52" s="436"/>
      <c r="AC52" s="436"/>
      <c r="AD52" s="436"/>
      <c r="AE52" s="436"/>
      <c r="AF52" s="436"/>
      <c r="AG52" s="436"/>
      <c r="AH52" s="436"/>
      <c r="AI52" s="436"/>
      <c r="AJ52" s="436"/>
      <c r="AK52" s="436"/>
      <c r="AL52" s="436"/>
      <c r="AM52" s="436"/>
      <c r="AN52" s="438"/>
    </row>
    <row r="53" spans="1:40" s="25" customFormat="1" ht="12" customHeight="1" thickTop="1">
      <c r="A53" s="520"/>
      <c r="B53" s="519"/>
      <c r="C53" s="530"/>
      <c r="D53" s="1673"/>
      <c r="E53" s="1673"/>
      <c r="F53" s="1673"/>
      <c r="G53" s="1673"/>
      <c r="H53" s="1673"/>
      <c r="I53" s="555"/>
      <c r="J53" s="555"/>
      <c r="K53" s="557"/>
      <c r="L53" s="557"/>
      <c r="M53" s="555"/>
      <c r="N53" s="555"/>
      <c r="O53" s="555"/>
      <c r="P53" s="70"/>
      <c r="S53" s="531"/>
      <c r="T53" s="531"/>
      <c r="U53" s="531"/>
      <c r="V53" s="531"/>
      <c r="W53" s="531"/>
      <c r="X53" s="531"/>
      <c r="Y53" s="531"/>
      <c r="Z53" s="531"/>
      <c r="AA53" s="436"/>
      <c r="AB53" s="436"/>
      <c r="AC53" s="436"/>
      <c r="AD53" s="436"/>
      <c r="AE53" s="436"/>
      <c r="AF53" s="436"/>
      <c r="AG53" s="436"/>
      <c r="AH53" s="436"/>
      <c r="AI53" s="436"/>
      <c r="AJ53" s="436"/>
      <c r="AK53" s="436"/>
      <c r="AL53" s="436"/>
      <c r="AM53" s="436"/>
      <c r="AN53" s="438"/>
    </row>
    <row r="54" spans="1:40" ht="15" customHeight="1" thickBot="1">
      <c r="A54" s="520"/>
      <c r="B54" s="519"/>
      <c r="C54" s="532"/>
      <c r="D54" s="1672" t="str">
        <f>VLOOKUP("estimated scrap
(estimated by supplier)",Translations!$A:$T,MATCH(Cover!DR19,Translations!A2:M2,0),0)</f>
        <v>Estimated scrap
(estimated by supplier)</v>
      </c>
      <c r="E54" s="1672"/>
      <c r="F54" s="1672"/>
      <c r="G54" s="1672"/>
      <c r="H54" s="1672"/>
      <c r="I54" s="1612" t="e">
        <f>P42*M54/100</f>
        <v>#VALUE!</v>
      </c>
      <c r="J54" s="1612"/>
      <c r="K54" s="1674" t="str">
        <f>VLOOKUP("pc",Translations!$A:$T,MATCH(Cover!DR19,Translations!A2:M2,0),0)</f>
        <v>pieces</v>
      </c>
      <c r="L54" s="1674"/>
      <c r="M54" s="1637" t="s">
        <v>1413</v>
      </c>
      <c r="N54" s="1639"/>
      <c r="O54" s="556"/>
      <c r="P54" s="659" t="s">
        <v>842</v>
      </c>
      <c r="Q54" s="25"/>
      <c r="R54" s="25"/>
      <c r="S54" s="531"/>
      <c r="T54" s="531"/>
      <c r="U54" s="531"/>
      <c r="V54" s="531"/>
      <c r="W54" s="531"/>
      <c r="X54" s="531"/>
      <c r="Y54" s="531"/>
      <c r="Z54" s="531"/>
      <c r="AA54" s="436"/>
      <c r="AB54" s="436"/>
      <c r="AC54" s="436"/>
      <c r="AD54" s="436"/>
      <c r="AE54" s="436"/>
      <c r="AF54" s="436"/>
      <c r="AG54" s="436"/>
      <c r="AH54" s="436"/>
      <c r="AI54" s="436"/>
      <c r="AJ54" s="436"/>
      <c r="AK54" s="436"/>
      <c r="AL54" s="436"/>
      <c r="AM54" s="436"/>
      <c r="AN54" s="438"/>
    </row>
    <row r="55" spans="1:40" ht="12" customHeight="1" thickTop="1">
      <c r="A55" s="520"/>
      <c r="B55" s="519"/>
      <c r="C55" s="533"/>
      <c r="D55" s="1673"/>
      <c r="E55" s="1673"/>
      <c r="F55" s="1673"/>
      <c r="G55" s="1673"/>
      <c r="H55" s="1673"/>
      <c r="I55" s="555"/>
      <c r="J55" s="555"/>
      <c r="K55" s="557"/>
      <c r="L55" s="557"/>
      <c r="M55" s="555"/>
      <c r="N55" s="555"/>
      <c r="O55" s="555"/>
      <c r="P55" s="560"/>
      <c r="Q55" s="527"/>
      <c r="R55" s="25"/>
      <c r="S55" s="25"/>
      <c r="T55" s="25"/>
      <c r="U55" s="25"/>
      <c r="V55" s="25"/>
      <c r="W55" s="25"/>
      <c r="X55" s="25"/>
      <c r="Y55" s="25"/>
      <c r="Z55" s="25"/>
      <c r="AA55" s="436"/>
      <c r="AB55" s="436"/>
      <c r="AC55" s="436"/>
      <c r="AD55" s="436"/>
      <c r="AE55" s="436"/>
      <c r="AF55" s="436"/>
      <c r="AG55" s="436"/>
      <c r="AH55" s="436"/>
      <c r="AI55" s="436"/>
      <c r="AJ55" s="436"/>
      <c r="AK55" s="436"/>
      <c r="AL55" s="436"/>
      <c r="AM55" s="436"/>
      <c r="AN55" s="438"/>
    </row>
    <row r="56" spans="1:40" ht="15" customHeight="1" thickBot="1">
      <c r="A56" s="534"/>
      <c r="B56" s="519"/>
      <c r="C56" s="414"/>
      <c r="D56" s="1672" t="str">
        <f>VLOOKUP("amount of rework parts",Translations!$A:$T,MATCH(Cover!DR19,Translations!A2:M2,0),0)</f>
        <v>Amount of rework parts</v>
      </c>
      <c r="E56" s="1672"/>
      <c r="F56" s="1672"/>
      <c r="G56" s="1672"/>
      <c r="H56" s="1672"/>
      <c r="I56" s="1613" t="s">
        <v>1413</v>
      </c>
      <c r="J56" s="1615"/>
      <c r="K56" s="558"/>
      <c r="L56" s="558"/>
      <c r="M56" s="1675" t="e">
        <f>(I56/P42)*100</f>
        <v>#VALUE!</v>
      </c>
      <c r="N56" s="1675"/>
      <c r="O56" s="556"/>
      <c r="P56" s="659" t="s">
        <v>843</v>
      </c>
      <c r="Q56" s="75"/>
      <c r="R56" s="75"/>
      <c r="S56" s="75"/>
      <c r="T56" s="75"/>
      <c r="U56" s="75"/>
      <c r="V56" s="25"/>
      <c r="W56" s="25"/>
      <c r="X56" s="25"/>
      <c r="Y56" s="25"/>
      <c r="Z56" s="25"/>
      <c r="AA56" s="1670"/>
      <c r="AB56" s="1670"/>
      <c r="AC56" s="1670"/>
      <c r="AD56" s="1670"/>
      <c r="AE56" s="1670"/>
      <c r="AF56" s="1670"/>
      <c r="AG56" s="1670"/>
      <c r="AH56" s="1670"/>
      <c r="AI56" s="1670"/>
      <c r="AJ56" s="1670"/>
      <c r="AK56" s="1670"/>
      <c r="AL56" s="1670"/>
      <c r="AM56" s="1670"/>
      <c r="AN56" s="1671"/>
    </row>
    <row r="57" spans="1:40" ht="12" customHeight="1" thickTop="1">
      <c r="A57" s="520"/>
      <c r="B57" s="519"/>
      <c r="C57" s="535"/>
      <c r="D57" s="1673"/>
      <c r="E57" s="1673"/>
      <c r="F57" s="1673"/>
      <c r="G57" s="1673"/>
      <c r="H57" s="1673"/>
      <c r="I57" s="555"/>
      <c r="J57" s="555"/>
      <c r="K57" s="557"/>
      <c r="L57" s="557"/>
      <c r="M57" s="555"/>
      <c r="N57" s="555"/>
      <c r="O57" s="555"/>
      <c r="P57" s="560"/>
      <c r="Q57" s="75"/>
      <c r="R57" s="75"/>
      <c r="S57" s="75"/>
      <c r="T57" s="75"/>
      <c r="U57" s="75"/>
      <c r="V57" s="25"/>
      <c r="W57" s="25"/>
      <c r="X57" s="25"/>
      <c r="Y57" s="25"/>
      <c r="Z57" s="25"/>
      <c r="AA57" s="1670"/>
      <c r="AB57" s="1670"/>
      <c r="AC57" s="1670"/>
      <c r="AD57" s="1670"/>
      <c r="AE57" s="1670"/>
      <c r="AF57" s="1670"/>
      <c r="AG57" s="1670"/>
      <c r="AH57" s="1670"/>
      <c r="AI57" s="1670"/>
      <c r="AJ57" s="1670"/>
      <c r="AK57" s="1670"/>
      <c r="AL57" s="1670"/>
      <c r="AM57" s="1670"/>
      <c r="AN57" s="1671"/>
    </row>
    <row r="58" spans="1:40" ht="15" customHeight="1" thickBot="1">
      <c r="A58" s="520"/>
      <c r="B58" s="519"/>
      <c r="C58" s="458"/>
      <c r="D58" s="1672" t="str">
        <f>VLOOKUP("First Time Quality (FTQ)
(amount of i.O. parts without rework)",Translations!$A:$T,MATCH(Cover!DR19,Translations!A2:M2,0),0)</f>
        <v>First Time Quality (FTQ)
(Amount of O.K. parts without rework)</v>
      </c>
      <c r="E58" s="1672"/>
      <c r="F58" s="1672"/>
      <c r="G58" s="1672"/>
      <c r="H58" s="1672"/>
      <c r="I58" s="1612" t="e">
        <f>P42-Q44</f>
        <v>#VALUE!</v>
      </c>
      <c r="J58" s="1612"/>
      <c r="K58" s="1674" t="str">
        <f>VLOOKUP("pc",Translations!$A:$T,MATCH(Cover!DR19,Translations!A2:M2,0),0)</f>
        <v>pieces</v>
      </c>
      <c r="L58" s="1674"/>
      <c r="M58" s="1677" t="e">
        <f>(I58/P42)*100</f>
        <v>#VALUE!</v>
      </c>
      <c r="N58" s="1677"/>
      <c r="O58" s="556"/>
      <c r="P58" s="661" t="s">
        <v>842</v>
      </c>
      <c r="Q58" s="75"/>
      <c r="R58" s="75"/>
      <c r="S58" s="75"/>
      <c r="T58" s="75"/>
      <c r="U58" s="75"/>
      <c r="V58" s="25"/>
      <c r="W58" s="25"/>
      <c r="X58" s="25"/>
      <c r="Y58" s="25"/>
      <c r="Z58" s="25"/>
      <c r="AA58" s="1670"/>
      <c r="AB58" s="1670"/>
      <c r="AC58" s="1670"/>
      <c r="AD58" s="1670"/>
      <c r="AE58" s="1670"/>
      <c r="AF58" s="1670"/>
      <c r="AG58" s="1670"/>
      <c r="AH58" s="1670"/>
      <c r="AI58" s="1670"/>
      <c r="AJ58" s="1670"/>
      <c r="AK58" s="1670"/>
      <c r="AL58" s="1670"/>
      <c r="AM58" s="1670"/>
      <c r="AN58" s="1671"/>
    </row>
    <row r="59" spans="1:40" ht="12" customHeight="1" thickTop="1">
      <c r="A59" s="520"/>
      <c r="B59" s="519"/>
      <c r="C59" s="525"/>
      <c r="D59" s="1655"/>
      <c r="E59" s="1655"/>
      <c r="F59" s="1655"/>
      <c r="G59" s="1655"/>
      <c r="H59" s="1655"/>
      <c r="I59" s="658"/>
      <c r="J59" s="658"/>
      <c r="K59" s="658"/>
      <c r="L59" s="658"/>
      <c r="M59" s="658"/>
      <c r="N59" s="658"/>
      <c r="O59" s="658"/>
      <c r="P59" s="75"/>
      <c r="Q59" s="75"/>
      <c r="R59" s="75"/>
      <c r="S59" s="75"/>
      <c r="T59" s="75"/>
      <c r="U59" s="75"/>
      <c r="V59" s="25"/>
      <c r="W59" s="25"/>
      <c r="X59" s="25"/>
      <c r="Y59" s="25"/>
      <c r="Z59" s="25"/>
      <c r="AA59" s="1670"/>
      <c r="AB59" s="1670"/>
      <c r="AC59" s="1670"/>
      <c r="AD59" s="1670"/>
      <c r="AE59" s="1670"/>
      <c r="AF59" s="1670"/>
      <c r="AG59" s="1670"/>
      <c r="AH59" s="1670"/>
      <c r="AI59" s="1670"/>
      <c r="AJ59" s="1670"/>
      <c r="AK59" s="1670"/>
      <c r="AL59" s="1670"/>
      <c r="AM59" s="1670"/>
      <c r="AN59" s="1671"/>
    </row>
    <row r="60" spans="1:40" ht="3" customHeight="1" thickBot="1">
      <c r="A60" s="520"/>
      <c r="B60" s="519"/>
      <c r="C60" s="525"/>
      <c r="D60" s="392"/>
      <c r="E60" s="392"/>
      <c r="F60" s="392"/>
      <c r="G60" s="392"/>
      <c r="H60" s="392"/>
      <c r="I60" s="392"/>
      <c r="J60" s="525"/>
      <c r="K60" s="525"/>
      <c r="L60" s="525"/>
      <c r="M60" s="525"/>
      <c r="N60" s="396"/>
      <c r="O60" s="527"/>
      <c r="P60" s="75"/>
      <c r="Q60" s="75"/>
      <c r="R60" s="75"/>
      <c r="S60" s="75"/>
      <c r="T60" s="75"/>
      <c r="U60" s="75"/>
      <c r="V60" s="536"/>
      <c r="W60" s="536"/>
      <c r="X60" s="536"/>
      <c r="Y60" s="132"/>
      <c r="Z60" s="132"/>
      <c r="AA60" s="132"/>
      <c r="AB60" s="132"/>
      <c r="AC60" s="132"/>
      <c r="AD60" s="132"/>
      <c r="AE60" s="132"/>
      <c r="AF60" s="132"/>
      <c r="AG60" s="132"/>
      <c r="AH60" s="132"/>
      <c r="AI60" s="132"/>
      <c r="AJ60" s="132"/>
      <c r="AK60" s="132"/>
      <c r="AL60" s="132"/>
      <c r="AM60" s="132"/>
      <c r="AN60" s="432"/>
    </row>
    <row r="61" spans="1:40" ht="20.25" customHeight="1" thickBot="1">
      <c r="A61" s="1663" t="str">
        <f>VLOOKUP("quantitative evaluation  (for bottleneck)",Translations!$A:$T,MATCH(Cover!DR19,Translations!A2:M2,0),0)</f>
        <v>Quantitative Evaluation (for Bottleneck process)</v>
      </c>
      <c r="B61" s="1664"/>
      <c r="C61" s="1664"/>
      <c r="D61" s="1664"/>
      <c r="E61" s="1664"/>
      <c r="F61" s="1664"/>
      <c r="G61" s="1664"/>
      <c r="H61" s="1664"/>
      <c r="I61" s="1664"/>
      <c r="J61" s="1664"/>
      <c r="K61" s="1664"/>
      <c r="L61" s="1664"/>
      <c r="M61" s="1664"/>
      <c r="N61" s="1664"/>
      <c r="O61" s="1664"/>
      <c r="P61" s="1664"/>
      <c r="Q61" s="1664"/>
      <c r="R61" s="1664"/>
      <c r="S61" s="1664"/>
      <c r="T61" s="1664"/>
      <c r="U61" s="1664"/>
      <c r="V61" s="1664"/>
      <c r="W61" s="1664"/>
      <c r="X61" s="1664"/>
      <c r="Y61" s="1664"/>
      <c r="Z61" s="1664"/>
      <c r="AA61" s="1664"/>
      <c r="AB61" s="1664"/>
      <c r="AC61" s="1664"/>
      <c r="AD61" s="1664"/>
      <c r="AE61" s="1664"/>
      <c r="AF61" s="1664"/>
      <c r="AG61" s="1664"/>
      <c r="AH61" s="1664"/>
      <c r="AI61" s="1664"/>
      <c r="AJ61" s="1664"/>
      <c r="AK61" s="1664"/>
      <c r="AL61" s="1664"/>
      <c r="AM61" s="1664"/>
      <c r="AN61" s="1665"/>
    </row>
    <row r="62" spans="1:40" ht="18" customHeight="1">
      <c r="A62" s="537"/>
      <c r="B62" s="1654" t="str">
        <f>VLOOKUP("witnessed during R@R",Translations!$A:$T,MATCH(Cover!DR19,Translations!A2:M2,0),0)</f>
        <v>Production capacity found during R@R</v>
      </c>
      <c r="C62" s="1654"/>
      <c r="D62" s="1654"/>
      <c r="E62" s="1654"/>
      <c r="F62" s="1654"/>
      <c r="G62" s="1654"/>
      <c r="H62" s="1654"/>
      <c r="I62" s="1654"/>
      <c r="J62" s="1654"/>
      <c r="K62" s="1654"/>
      <c r="L62" s="1654"/>
      <c r="M62" s="1654"/>
      <c r="N62" s="1654"/>
      <c r="O62" s="1654"/>
      <c r="P62" s="1654"/>
      <c r="Q62" s="1654"/>
      <c r="R62" s="1654"/>
      <c r="S62" s="1654"/>
      <c r="T62" s="538"/>
      <c r="U62" s="538"/>
      <c r="V62" s="538"/>
      <c r="W62" s="538"/>
      <c r="X62" s="547"/>
      <c r="Y62" s="547"/>
      <c r="Z62" s="547"/>
      <c r="AA62" s="547"/>
      <c r="AB62" s="547"/>
      <c r="AC62" s="547"/>
      <c r="AD62" s="547"/>
      <c r="AE62" s="547"/>
      <c r="AF62" s="547"/>
      <c r="AG62" s="547"/>
      <c r="AH62" s="547"/>
      <c r="AI62" s="547"/>
      <c r="AJ62" s="547"/>
      <c r="AK62" s="547"/>
      <c r="AL62" s="547"/>
      <c r="AM62" s="547"/>
      <c r="AN62" s="548"/>
    </row>
    <row r="63" spans="1:40" ht="6" customHeight="1">
      <c r="A63" s="539"/>
      <c r="B63" s="540"/>
      <c r="C63" s="540"/>
      <c r="D63" s="540"/>
      <c r="E63" s="540"/>
      <c r="F63" s="540"/>
      <c r="G63" s="540"/>
      <c r="H63" s="128"/>
      <c r="I63" s="127"/>
      <c r="J63" s="127"/>
      <c r="K63" s="127"/>
      <c r="L63" s="127"/>
      <c r="M63" s="127"/>
      <c r="N63" s="127"/>
      <c r="O63" s="127"/>
      <c r="P63" s="127"/>
      <c r="Q63" s="127"/>
      <c r="R63" s="127"/>
      <c r="S63" s="127"/>
      <c r="T63" s="127"/>
      <c r="U63" s="127"/>
      <c r="V63" s="127"/>
      <c r="W63" s="127"/>
      <c r="X63" s="25"/>
      <c r="Y63" s="25"/>
      <c r="Z63" s="25"/>
      <c r="AA63" s="25"/>
      <c r="AB63" s="25"/>
      <c r="AC63" s="25"/>
      <c r="AD63" s="25"/>
      <c r="AE63" s="25"/>
      <c r="AF63" s="25"/>
      <c r="AG63" s="25"/>
      <c r="AH63" s="25"/>
      <c r="AI63" s="25"/>
      <c r="AJ63" s="25"/>
      <c r="AK63" s="25"/>
      <c r="AL63" s="25"/>
      <c r="AM63" s="25"/>
      <c r="AN63" s="387"/>
    </row>
    <row r="64" spans="1:40" ht="6" customHeight="1">
      <c r="A64" s="440"/>
      <c r="B64" s="414"/>
      <c r="C64" s="414"/>
      <c r="D64" s="414"/>
      <c r="E64" s="414"/>
      <c r="F64" s="414"/>
      <c r="G64" s="414"/>
      <c r="H64" s="414"/>
      <c r="I64" s="414"/>
      <c r="J64" s="414"/>
      <c r="K64" s="414"/>
      <c r="L64" s="414"/>
      <c r="M64" s="414"/>
      <c r="N64" s="414"/>
      <c r="O64" s="414"/>
      <c r="P64" s="414"/>
      <c r="Q64" s="414"/>
      <c r="R64" s="414"/>
      <c r="S64" s="414"/>
      <c r="T64" s="414"/>
      <c r="U64" s="25"/>
      <c r="V64" s="135"/>
      <c r="W64" s="135"/>
      <c r="X64" s="25"/>
      <c r="Y64" s="25"/>
      <c r="Z64" s="25"/>
      <c r="AA64" s="25"/>
      <c r="AB64" s="25"/>
      <c r="AC64" s="25"/>
      <c r="AD64" s="25"/>
      <c r="AE64" s="25"/>
      <c r="AF64" s="25"/>
      <c r="AG64" s="25"/>
      <c r="AH64" s="25"/>
      <c r="AI64" s="25"/>
      <c r="AJ64" s="25"/>
      <c r="AK64" s="25"/>
      <c r="AL64" s="25"/>
      <c r="AM64" s="25"/>
      <c r="AN64" s="387"/>
    </row>
    <row r="65" spans="1:40" ht="15" customHeight="1" thickBot="1">
      <c r="A65" s="439"/>
      <c r="B65" s="1625" t="str">
        <f>VLOOKUP("shift model serial",Translations!$A:$T,MATCH(Cover!DR19,Translations!A2:M2,0),0)</f>
        <v>Shift model for serial production:</v>
      </c>
      <c r="C65" s="1625"/>
      <c r="D65" s="1625"/>
      <c r="E65" s="1625"/>
      <c r="F65" s="1625"/>
      <c r="G65" s="1625"/>
      <c r="H65" s="1626"/>
      <c r="I65" s="1619" t="s">
        <v>1413</v>
      </c>
      <c r="J65" s="1620"/>
      <c r="K65" s="1621"/>
      <c r="L65" s="563" t="s">
        <v>844</v>
      </c>
      <c r="M65" s="1619" t="s">
        <v>1413</v>
      </c>
      <c r="N65" s="1620"/>
      <c r="O65" s="1621"/>
      <c r="P65" s="541" t="s">
        <v>845</v>
      </c>
      <c r="Q65" s="1623" t="e">
        <f>I65*M65*60</f>
        <v>#VALUE!</v>
      </c>
      <c r="R65" s="1623"/>
      <c r="S65" s="1623"/>
      <c r="T65" s="1623"/>
      <c r="U65" s="1623"/>
      <c r="V65" s="1623"/>
      <c r="W65" s="135"/>
      <c r="X65" s="1610" t="s">
        <v>1399</v>
      </c>
      <c r="Y65" s="1610"/>
      <c r="Z65" s="1610"/>
      <c r="AA65" s="25"/>
      <c r="AB65" s="25"/>
      <c r="AC65" s="25"/>
      <c r="AD65" s="25"/>
      <c r="AE65" s="25"/>
      <c r="AF65" s="25"/>
      <c r="AG65" s="25"/>
      <c r="AH65" s="25"/>
      <c r="AI65" s="25"/>
      <c r="AJ65" s="25"/>
      <c r="AK65" s="25"/>
      <c r="AL65" s="25"/>
      <c r="AM65" s="25"/>
      <c r="AN65" s="387"/>
    </row>
    <row r="66" spans="1:40" ht="15.75" customHeight="1" thickTop="1">
      <c r="A66" s="440"/>
      <c r="B66" s="25"/>
      <c r="C66" s="25"/>
      <c r="D66" s="25"/>
      <c r="E66" s="25"/>
      <c r="F66" s="75"/>
      <c r="G66" s="25"/>
      <c r="I66" s="1622" t="str">
        <f>VLOOKUP("shifts / week",Translations!$A:$T,MATCH(Cover!DR19,Translations!A2:M2,0),0)</f>
        <v>shifts / week</v>
      </c>
      <c r="J66" s="1622"/>
      <c r="K66" s="1622"/>
      <c r="L66" s="542"/>
      <c r="M66" s="1622" t="str">
        <f>VLOOKUP("hours / shift",Translations!$A:$T,MATCH(Cover!DR19,Translations!A2:M2,0),0)</f>
        <v>hours / shift</v>
      </c>
      <c r="N66" s="1622"/>
      <c r="O66" s="1622"/>
      <c r="Q66" s="1624" t="str">
        <f>VLOOKUP("min. / week",Translations!$A:$T,MATCH(Cover!DR19,Translations!A2:M2,0),0)</f>
        <v>min. / week</v>
      </c>
      <c r="R66" s="1624"/>
      <c r="S66" s="1624"/>
      <c r="T66" s="1624"/>
      <c r="U66" s="1624"/>
      <c r="V66" s="1624"/>
      <c r="W66" s="135"/>
      <c r="X66" s="25"/>
      <c r="Y66" s="526"/>
      <c r="Z66" s="526"/>
      <c r="AA66" s="25"/>
      <c r="AB66" s="25"/>
      <c r="AC66" s="25"/>
      <c r="AD66" s="25"/>
      <c r="AE66" s="25"/>
      <c r="AF66" s="25"/>
      <c r="AG66" s="25"/>
      <c r="AH66" s="25"/>
      <c r="AI66" s="25"/>
      <c r="AJ66" s="25"/>
      <c r="AK66" s="25"/>
      <c r="AL66" s="25"/>
      <c r="AM66" s="25"/>
      <c r="AN66" s="387"/>
    </row>
    <row r="67" spans="1:40" ht="15" customHeight="1" thickBot="1">
      <c r="A67" s="440"/>
      <c r="B67" s="1627" t="str">
        <f>VLOOKUP("Contractual planned Downtime:",Translations!$A:$T,MATCH(Cover!DR19,Translations!A2:M2,0),0)</f>
        <v>Contractual planned Downtime
(lunch, breaks, etc.):</v>
      </c>
      <c r="C67" s="1627"/>
      <c r="D67" s="1627"/>
      <c r="E67" s="1627"/>
      <c r="F67" s="1627"/>
      <c r="G67" s="1627"/>
      <c r="H67" s="1627"/>
      <c r="I67" s="1619" t="s">
        <v>1413</v>
      </c>
      <c r="J67" s="1620"/>
      <c r="K67" s="1621"/>
      <c r="L67" s="542"/>
      <c r="M67" s="663"/>
      <c r="N67" s="663"/>
      <c r="O67" s="663"/>
      <c r="Q67" s="1623" t="e">
        <f>Q65-(I67*I65)</f>
        <v>#VALUE!</v>
      </c>
      <c r="R67" s="1623"/>
      <c r="S67" s="1623"/>
      <c r="T67" s="1623"/>
      <c r="U67" s="1623"/>
      <c r="V67" s="1623"/>
      <c r="W67" s="135"/>
      <c r="X67" s="1610" t="s">
        <v>1398</v>
      </c>
      <c r="Y67" s="1610"/>
      <c r="Z67" s="1610"/>
      <c r="AA67" s="25"/>
      <c r="AB67" s="25"/>
      <c r="AC67" s="25"/>
      <c r="AD67" s="25"/>
      <c r="AE67" s="25"/>
      <c r="AF67" s="25"/>
      <c r="AG67" s="25"/>
      <c r="AH67" s="25"/>
      <c r="AI67" s="25"/>
      <c r="AJ67" s="25"/>
      <c r="AK67" s="25"/>
      <c r="AL67" s="25"/>
      <c r="AM67" s="25"/>
      <c r="AN67" s="387"/>
    </row>
    <row r="68" spans="1:40" ht="15.75" customHeight="1" thickTop="1">
      <c r="A68" s="440"/>
      <c r="B68" s="1627"/>
      <c r="C68" s="1627"/>
      <c r="D68" s="1627"/>
      <c r="E68" s="1627"/>
      <c r="F68" s="1627"/>
      <c r="G68" s="1627"/>
      <c r="H68" s="1627"/>
      <c r="I68" s="1622" t="s">
        <v>1397</v>
      </c>
      <c r="J68" s="1622"/>
      <c r="K68" s="1622"/>
      <c r="L68" s="542"/>
      <c r="M68" s="663"/>
      <c r="N68" s="663"/>
      <c r="O68" s="663"/>
      <c r="Q68" s="1624" t="str">
        <f>VLOOKUP("min. / week",Translations!$A:$T,MATCH(Cover!DR19,Translations!A2:M2,0),0)</f>
        <v>min. / week</v>
      </c>
      <c r="R68" s="1624"/>
      <c r="S68" s="1624"/>
      <c r="T68" s="1624"/>
      <c r="U68" s="1624"/>
      <c r="V68" s="1624"/>
      <c r="W68" s="135"/>
      <c r="X68" s="25"/>
      <c r="Y68" s="25"/>
      <c r="Z68" s="25"/>
      <c r="AA68" s="25"/>
      <c r="AB68" s="25"/>
      <c r="AC68" s="25"/>
      <c r="AD68" s="25"/>
      <c r="AE68" s="25"/>
      <c r="AF68" s="25"/>
      <c r="AG68" s="25"/>
      <c r="AH68" s="25"/>
      <c r="AI68" s="25"/>
      <c r="AJ68" s="25"/>
      <c r="AK68" s="25"/>
      <c r="AL68" s="25"/>
      <c r="AM68" s="25"/>
      <c r="AN68" s="387"/>
    </row>
    <row r="69" spans="1:40" ht="6" customHeight="1">
      <c r="A69" s="440"/>
      <c r="B69" s="25"/>
      <c r="C69" s="25"/>
      <c r="D69" s="25"/>
      <c r="E69" s="25"/>
      <c r="F69" s="75"/>
      <c r="G69" s="25"/>
      <c r="H69" s="663"/>
      <c r="I69" s="663"/>
      <c r="J69" s="663"/>
      <c r="K69" s="542"/>
      <c r="L69" s="663"/>
      <c r="M69" s="663"/>
      <c r="N69" s="663"/>
      <c r="O69" s="25"/>
      <c r="P69" s="398"/>
      <c r="Q69" s="398"/>
      <c r="R69" s="398"/>
      <c r="S69" s="398"/>
      <c r="T69" s="398"/>
      <c r="U69" s="398"/>
      <c r="V69" s="135"/>
      <c r="W69" s="135"/>
      <c r="X69" s="25"/>
      <c r="Y69" s="25"/>
      <c r="Z69" s="25"/>
      <c r="AA69" s="25"/>
      <c r="AB69" s="25"/>
      <c r="AC69" s="25"/>
      <c r="AD69" s="25"/>
      <c r="AE69" s="25"/>
      <c r="AF69" s="25"/>
      <c r="AG69" s="25"/>
      <c r="AH69" s="25"/>
      <c r="AI69" s="25"/>
      <c r="AJ69" s="25"/>
      <c r="AK69" s="25"/>
      <c r="AL69" s="25"/>
      <c r="AM69" s="25"/>
      <c r="AN69" s="387"/>
    </row>
    <row r="70" spans="1:40" ht="15" customHeight="1">
      <c r="A70" s="439"/>
      <c r="B70" s="1640" t="str">
        <f>VLOOKUP("data for actual performance calculation:",Translations!$A:$T,MATCH(Cover!DR19,Translations!A2:M2,0),0)</f>
        <v>Data for actual performance calculation:</v>
      </c>
      <c r="C70" s="1640"/>
      <c r="D70" s="1640"/>
      <c r="E70" s="1640"/>
      <c r="F70" s="1640"/>
      <c r="G70" s="1640"/>
      <c r="H70" s="1640"/>
      <c r="I70" s="1640"/>
      <c r="J70" s="1640"/>
      <c r="K70" s="1640"/>
      <c r="L70" s="1640"/>
      <c r="M70" s="1640"/>
      <c r="N70" s="1640"/>
      <c r="O70" s="1640"/>
      <c r="P70" s="1640"/>
      <c r="Q70" s="1640"/>
      <c r="R70" s="1640"/>
      <c r="S70" s="1640"/>
      <c r="T70" s="655"/>
      <c r="U70" s="655"/>
      <c r="V70" s="655"/>
      <c r="W70" s="655"/>
      <c r="X70" s="25"/>
      <c r="Y70" s="25"/>
      <c r="Z70" s="25"/>
      <c r="AA70" s="25"/>
      <c r="AB70" s="25"/>
      <c r="AC70" s="25"/>
      <c r="AD70" s="25"/>
      <c r="AE70" s="25"/>
      <c r="AF70" s="25"/>
      <c r="AG70" s="25"/>
      <c r="AH70" s="25"/>
      <c r="AI70" s="25"/>
      <c r="AJ70" s="25"/>
      <c r="AK70" s="25"/>
      <c r="AL70" s="25"/>
      <c r="AM70" s="25"/>
      <c r="AN70" s="387"/>
    </row>
    <row r="71" spans="1:40" ht="15" customHeight="1">
      <c r="A71" s="439"/>
      <c r="B71" s="25"/>
      <c r="C71" s="1646" t="str">
        <f>VLOOKUP("produced good parts:",Translations!$A:$T,MATCH(Cover!DR19,Translations!A2:M2,0),0)</f>
        <v>Produced good parts:</v>
      </c>
      <c r="D71" s="1646"/>
      <c r="E71" s="1646"/>
      <c r="F71" s="1646"/>
      <c r="G71" s="1646"/>
      <c r="H71" s="1646"/>
      <c r="I71" s="1646"/>
      <c r="J71" s="1646"/>
      <c r="K71" s="1646"/>
      <c r="L71" s="1646"/>
      <c r="M71" s="1646"/>
      <c r="N71" s="1646"/>
      <c r="O71" s="1647"/>
      <c r="P71" s="1684" t="s">
        <v>1413</v>
      </c>
      <c r="Q71" s="1684"/>
      <c r="R71" s="1684"/>
      <c r="S71" s="1684"/>
      <c r="T71" s="415"/>
      <c r="U71" s="1617" t="str">
        <f>VLOOKUP("pc",Translations!$A:$T,MATCH(Cover!DR19,Translations!A2:M2,0),0)</f>
        <v>pieces</v>
      </c>
      <c r="V71" s="1617"/>
      <c r="W71" s="127"/>
      <c r="X71" s="25"/>
      <c r="Y71" s="25"/>
      <c r="Z71" s="25"/>
      <c r="AA71" s="25"/>
      <c r="AB71" s="25"/>
      <c r="AC71" s="25"/>
      <c r="AD71" s="25"/>
      <c r="AE71" s="25"/>
      <c r="AF71" s="25"/>
      <c r="AG71" s="25"/>
      <c r="AH71" s="25"/>
      <c r="AI71" s="25"/>
      <c r="AJ71" s="25"/>
      <c r="AK71" s="25"/>
      <c r="AL71" s="25"/>
      <c r="AM71" s="25"/>
      <c r="AN71" s="387"/>
    </row>
    <row r="72" spans="1:40" ht="15" customHeight="1">
      <c r="A72" s="439"/>
      <c r="B72" s="25"/>
      <c r="C72" s="1646" t="str">
        <f>VLOOKUP("produced scrap:",Translations!$A:$T,MATCH(Cover!DR19,Translations!A2:M2,0),0)</f>
        <v>Produced scrap:</v>
      </c>
      <c r="D72" s="1646"/>
      <c r="E72" s="1646"/>
      <c r="F72" s="1646"/>
      <c r="G72" s="1646"/>
      <c r="H72" s="1646"/>
      <c r="I72" s="1646"/>
      <c r="J72" s="1646"/>
      <c r="K72" s="1646"/>
      <c r="L72" s="1646"/>
      <c r="M72" s="1646"/>
      <c r="N72" s="1646"/>
      <c r="O72" s="1647"/>
      <c r="P72" s="1685" t="s">
        <v>1413</v>
      </c>
      <c r="Q72" s="1685"/>
      <c r="R72" s="1685"/>
      <c r="S72" s="1685"/>
      <c r="T72" s="415"/>
      <c r="U72" s="1617" t="str">
        <f>VLOOKUP("pc",Translations!$A:$T,MATCH(Cover!DR19,Translations!A2:M2,0),0)</f>
        <v>pieces</v>
      </c>
      <c r="V72" s="1617"/>
      <c r="W72" s="25"/>
      <c r="X72" s="25"/>
      <c r="Y72" s="25"/>
      <c r="Z72" s="25"/>
      <c r="AA72" s="25"/>
      <c r="AB72" s="25"/>
      <c r="AC72" s="25"/>
      <c r="AD72" s="25"/>
      <c r="AE72" s="25"/>
      <c r="AF72" s="25"/>
      <c r="AG72" s="25"/>
      <c r="AH72" s="25"/>
      <c r="AI72" s="25"/>
      <c r="AJ72" s="25"/>
      <c r="AK72" s="25"/>
      <c r="AL72" s="25"/>
      <c r="AM72" s="25"/>
      <c r="AN72" s="387"/>
    </row>
    <row r="73" spans="1:40" ht="15" customHeight="1">
      <c r="A73" s="439"/>
      <c r="B73" s="25"/>
      <c r="C73" s="1646" t="str">
        <f>VLOOKUP("production time without down times:",Translations!$A:$T,MATCH(Cover!DR19,Translations!A2:M2,0),0)</f>
        <v>Production time without down times:</v>
      </c>
      <c r="D73" s="1646"/>
      <c r="E73" s="1646"/>
      <c r="F73" s="1646"/>
      <c r="G73" s="1646"/>
      <c r="H73" s="1646"/>
      <c r="I73" s="1646"/>
      <c r="J73" s="1646"/>
      <c r="K73" s="1646"/>
      <c r="L73" s="1646"/>
      <c r="M73" s="1646"/>
      <c r="N73" s="1646"/>
      <c r="O73" s="1647"/>
      <c r="P73" s="1686" t="s">
        <v>1413</v>
      </c>
      <c r="Q73" s="1686"/>
      <c r="R73" s="1686"/>
      <c r="S73" s="1686"/>
      <c r="T73" s="415"/>
      <c r="U73" s="1617" t="str">
        <f>VLOOKUP("min",Translations!$A:$T,MATCH(Cover!DR19,Translations!A2:M2,0),0)</f>
        <v>min.</v>
      </c>
      <c r="V73" s="1617"/>
      <c r="W73" s="25"/>
      <c r="X73" s="25"/>
      <c r="Y73" s="25"/>
      <c r="Z73" s="25"/>
      <c r="AA73" s="25"/>
      <c r="AB73" s="25"/>
      <c r="AC73" s="25"/>
      <c r="AD73" s="25"/>
      <c r="AE73" s="25"/>
      <c r="AF73" s="25"/>
      <c r="AG73" s="25"/>
      <c r="AH73" s="25"/>
      <c r="AI73" s="25"/>
      <c r="AJ73" s="25"/>
      <c r="AK73" s="25"/>
      <c r="AL73" s="25"/>
      <c r="AM73" s="25"/>
      <c r="AN73" s="387"/>
    </row>
    <row r="74" spans="1:40" ht="15" customHeight="1">
      <c r="A74" s="439"/>
      <c r="B74" s="25"/>
      <c r="C74" s="1646" t="str">
        <f>VLOOKUP("down times:",Translations!$A:$T,MATCH(Cover!DR19,Translations!A2:M2,0),0)</f>
        <v>Down times:</v>
      </c>
      <c r="D74" s="1646"/>
      <c r="E74" s="1646"/>
      <c r="F74" s="1646"/>
      <c r="G74" s="1646"/>
      <c r="H74" s="1646"/>
      <c r="I74" s="1646"/>
      <c r="J74" s="1646"/>
      <c r="K74" s="1646"/>
      <c r="L74" s="1646"/>
      <c r="M74" s="1646"/>
      <c r="N74" s="1646"/>
      <c r="O74" s="1647"/>
      <c r="P74" s="1687" t="s">
        <v>1413</v>
      </c>
      <c r="Q74" s="1687"/>
      <c r="R74" s="1687"/>
      <c r="S74" s="1687"/>
      <c r="T74" s="415"/>
      <c r="U74" s="1617" t="str">
        <f>VLOOKUP("min",Translations!$A:$T,MATCH(Cover!DR19,Translations!A2:M2,0),0)</f>
        <v>min.</v>
      </c>
      <c r="V74" s="1617"/>
      <c r="W74" s="25"/>
      <c r="X74" s="25"/>
      <c r="Y74" s="25"/>
      <c r="Z74" s="25"/>
      <c r="AA74" s="25"/>
      <c r="AB74" s="25"/>
      <c r="AC74" s="25"/>
      <c r="AD74" s="25"/>
      <c r="AE74" s="25"/>
      <c r="AF74" s="25"/>
      <c r="AG74" s="25"/>
      <c r="AH74" s="25"/>
      <c r="AI74" s="25"/>
      <c r="AJ74" s="25"/>
      <c r="AK74" s="25"/>
      <c r="AL74" s="25"/>
      <c r="AM74" s="25"/>
      <c r="AN74" s="387"/>
    </row>
    <row r="75" spans="1:40" ht="3.75" customHeight="1">
      <c r="A75" s="439"/>
      <c r="B75" s="414"/>
      <c r="C75" s="414"/>
      <c r="D75" s="414"/>
      <c r="E75" s="414"/>
      <c r="F75" s="395"/>
      <c r="G75" s="395"/>
      <c r="H75" s="127"/>
      <c r="I75" s="127"/>
      <c r="J75" s="128"/>
      <c r="K75" s="128"/>
      <c r="L75" s="128"/>
      <c r="M75" s="128"/>
      <c r="N75" s="128"/>
      <c r="O75" s="127"/>
      <c r="P75" s="133"/>
      <c r="Q75" s="133"/>
      <c r="R75" s="133"/>
      <c r="S75" s="133"/>
      <c r="T75" s="127"/>
      <c r="U75" s="127"/>
      <c r="V75" s="127"/>
      <c r="W75" s="127"/>
      <c r="X75" s="25"/>
      <c r="Y75" s="25"/>
      <c r="Z75" s="25"/>
      <c r="AA75" s="25"/>
      <c r="AB75" s="25"/>
      <c r="AC75" s="25"/>
      <c r="AD75" s="25"/>
      <c r="AE75" s="25"/>
      <c r="AF75" s="25"/>
      <c r="AG75" s="25"/>
      <c r="AH75" s="25"/>
      <c r="AI75" s="25"/>
      <c r="AJ75" s="25"/>
      <c r="AK75" s="25"/>
      <c r="AL75" s="25"/>
      <c r="AM75" s="25"/>
      <c r="AN75" s="387"/>
    </row>
    <row r="76" spans="1:40" ht="6" customHeight="1">
      <c r="A76" s="439"/>
      <c r="B76" s="458"/>
      <c r="C76" s="458"/>
      <c r="D76" s="458"/>
      <c r="E76" s="458"/>
      <c r="F76" s="458"/>
      <c r="G76" s="458"/>
      <c r="H76" s="402"/>
      <c r="I76" s="402"/>
      <c r="J76" s="402"/>
      <c r="K76" s="402"/>
      <c r="L76" s="402"/>
      <c r="M76" s="402"/>
      <c r="N76" s="402"/>
      <c r="O76" s="402"/>
      <c r="P76" s="550"/>
      <c r="Q76" s="550"/>
      <c r="R76" s="550"/>
      <c r="S76" s="550"/>
      <c r="T76" s="402"/>
      <c r="U76" s="402"/>
      <c r="V76" s="402"/>
      <c r="W76" s="402"/>
      <c r="X76" s="402"/>
      <c r="Y76" s="402"/>
      <c r="Z76" s="402"/>
      <c r="AA76" s="402"/>
      <c r="AB76" s="402"/>
      <c r="AC76" s="402"/>
      <c r="AD76" s="402"/>
      <c r="AE76" s="402"/>
      <c r="AF76" s="402"/>
      <c r="AG76" s="402"/>
      <c r="AH76" s="402"/>
      <c r="AI76" s="402"/>
      <c r="AJ76" s="402"/>
      <c r="AK76" s="402"/>
      <c r="AL76" s="402"/>
      <c r="AM76" s="402"/>
      <c r="AN76" s="454"/>
    </row>
    <row r="77" spans="1:40" ht="15" customHeight="1">
      <c r="A77" s="543"/>
      <c r="B77" s="1646" t="str">
        <f>VLOOKUP("set up time, actual:",Translations!$A:$T,MATCH(Cover!DR19,Translations!A2:M2,0),0)</f>
        <v>Set-up time, actual:</v>
      </c>
      <c r="C77" s="1646"/>
      <c r="D77" s="1646"/>
      <c r="E77" s="1646"/>
      <c r="F77" s="1646"/>
      <c r="G77" s="1646"/>
      <c r="H77" s="1647"/>
      <c r="I77" s="1613" t="s">
        <v>1413</v>
      </c>
      <c r="J77" s="1615"/>
      <c r="K77" s="1648" t="str">
        <f>VLOOKUP("min",Translations!$A:$T,MATCH(Cover!DR19,Translations!A2:M2,0),0)</f>
        <v>min.</v>
      </c>
      <c r="L77" s="1649"/>
      <c r="M77" s="1650" t="str">
        <f>VLOOKUP("lot size:",Translations!$A:$T,MATCH(Cover!DR19,Translations!A2:M2,0),0)</f>
        <v>Lot size:</v>
      </c>
      <c r="N77" s="1650"/>
      <c r="O77" s="1650"/>
      <c r="P77" s="1651" t="s">
        <v>1413</v>
      </c>
      <c r="Q77" s="1652"/>
      <c r="R77" s="1652"/>
      <c r="S77" s="1653"/>
      <c r="T77" s="415"/>
      <c r="U77" s="1649" t="str">
        <f>VLOOKUP("pc",Translations!$A:$T,MATCH(Cover!DR19,Translations!A2:M2,0),0)</f>
        <v>pieces</v>
      </c>
      <c r="V77" s="1649"/>
      <c r="W77" s="25"/>
      <c r="X77" s="25"/>
      <c r="Y77" s="25"/>
      <c r="Z77" s="25"/>
      <c r="AA77" s="25"/>
      <c r="AB77" s="25"/>
      <c r="AC77" s="25"/>
      <c r="AD77" s="25"/>
      <c r="AE77" s="25"/>
      <c r="AF77" s="25"/>
      <c r="AG77" s="25"/>
      <c r="AH77" s="25"/>
      <c r="AI77" s="25"/>
      <c r="AJ77" s="25"/>
      <c r="AK77" s="25"/>
      <c r="AL77" s="25"/>
      <c r="AM77" s="25"/>
      <c r="AN77" s="387"/>
    </row>
    <row r="78" spans="1:40" ht="6" customHeight="1">
      <c r="A78" s="543"/>
      <c r="B78" s="544"/>
      <c r="C78" s="544"/>
      <c r="D78" s="545"/>
      <c r="E78" s="546"/>
      <c r="F78" s="415"/>
      <c r="G78" s="541"/>
      <c r="H78" s="25"/>
      <c r="I78" s="25"/>
      <c r="J78" s="25"/>
      <c r="K78" s="25"/>
      <c r="L78" s="25"/>
      <c r="M78" s="25"/>
      <c r="N78" s="25"/>
      <c r="O78" s="25"/>
      <c r="P78" s="25"/>
      <c r="Q78" s="25"/>
      <c r="R78" s="25"/>
      <c r="S78" s="25"/>
      <c r="T78" s="25"/>
      <c r="U78" s="25"/>
      <c r="V78" s="25"/>
      <c r="W78" s="25"/>
      <c r="X78" s="25"/>
      <c r="Y78" s="25"/>
      <c r="Z78" s="25"/>
      <c r="AA78" s="25"/>
      <c r="AB78" s="25"/>
      <c r="AC78" s="25"/>
      <c r="AD78" s="25"/>
      <c r="AE78" s="25"/>
      <c r="AF78" s="25"/>
      <c r="AG78" s="25"/>
      <c r="AH78" s="25"/>
      <c r="AI78" s="25"/>
      <c r="AJ78" s="25"/>
      <c r="AK78" s="25"/>
      <c r="AL78" s="25"/>
      <c r="AM78" s="25"/>
      <c r="AN78" s="387"/>
    </row>
    <row r="79" spans="1:40" ht="3" customHeight="1">
      <c r="A79" s="439"/>
      <c r="B79" s="455"/>
      <c r="C79" s="456"/>
      <c r="D79" s="457"/>
      <c r="E79" s="458"/>
      <c r="F79" s="459"/>
      <c r="G79" s="458"/>
      <c r="H79" s="402"/>
      <c r="I79" s="402"/>
      <c r="J79" s="402"/>
      <c r="K79" s="402"/>
      <c r="L79" s="402"/>
      <c r="M79" s="402"/>
      <c r="N79" s="402"/>
      <c r="O79" s="402"/>
      <c r="P79" s="402"/>
      <c r="Q79" s="402"/>
      <c r="R79" s="402"/>
      <c r="S79" s="402"/>
      <c r="T79" s="402"/>
      <c r="U79" s="402"/>
      <c r="V79" s="402"/>
      <c r="W79" s="402"/>
      <c r="X79" s="402"/>
      <c r="Y79" s="402"/>
      <c r="Z79" s="402"/>
      <c r="AA79" s="402"/>
      <c r="AB79" s="402"/>
      <c r="AC79" s="402"/>
      <c r="AD79" s="402"/>
      <c r="AE79" s="402"/>
      <c r="AF79" s="402"/>
      <c r="AG79" s="402"/>
      <c r="AH79" s="402"/>
      <c r="AI79" s="402"/>
      <c r="AJ79" s="402"/>
      <c r="AK79" s="402"/>
      <c r="AL79" s="402"/>
      <c r="AM79" s="402"/>
      <c r="AN79" s="454"/>
    </row>
    <row r="80" spans="1:40" ht="15" customHeight="1" thickBot="1">
      <c r="A80" s="666"/>
      <c r="B80" s="667"/>
      <c r="C80" s="1636" t="str">
        <f>VLOOKUP("production time, actual:",Translations!$A:$T,MATCH(Cover!DR19,Translations!A2:M2,0),0)</f>
        <v>Production time, actual:</v>
      </c>
      <c r="D80" s="1636"/>
      <c r="E80" s="1636"/>
      <c r="F80" s="1636"/>
      <c r="G80" s="1636"/>
      <c r="H80" s="1636"/>
      <c r="I80" s="1636"/>
      <c r="J80" s="1636"/>
      <c r="K80" s="1636"/>
      <c r="L80" s="1636"/>
      <c r="M80" s="1636"/>
      <c r="N80" s="1632" t="e">
        <f>P73/P71*60</f>
        <v>#VALUE!</v>
      </c>
      <c r="O80" s="1632"/>
      <c r="P80" s="1632"/>
      <c r="Q80" s="1632"/>
      <c r="R80" s="1633" t="str">
        <f>VLOOKUP("sec../ pc.",Translations!$A:$T,MATCH(Cover!DR19,Translations!A2:M2,0),0)</f>
        <v>sec./ pc.</v>
      </c>
      <c r="S80" s="1633"/>
      <c r="T80" s="1633"/>
      <c r="U80" s="1633"/>
      <c r="V80" s="1633"/>
      <c r="W80" s="668"/>
      <c r="X80" s="1611" t="str">
        <f>VLOOKUP("amount of cavities considered",Translations!$A:$T,MATCH(Cover!DR19,Translations!A2:M2,0),0)</f>
        <v>(amount of cavities considered)</v>
      </c>
      <c r="Y80" s="1611"/>
      <c r="Z80" s="1611"/>
      <c r="AA80" s="1611"/>
      <c r="AB80" s="1611"/>
      <c r="AC80" s="1611"/>
      <c r="AD80" s="1611"/>
      <c r="AE80" s="1611"/>
      <c r="AF80" s="1611"/>
      <c r="AG80" s="1611"/>
      <c r="AH80" s="1611"/>
      <c r="AI80" s="1611"/>
      <c r="AJ80" s="669"/>
      <c r="AK80" s="667"/>
      <c r="AL80" s="667"/>
      <c r="AM80" s="667"/>
      <c r="AN80" s="670"/>
    </row>
    <row r="81" spans="1:40" ht="13.5" customHeight="1" thickTop="1">
      <c r="A81" s="439"/>
      <c r="B81" s="667"/>
      <c r="C81" s="667"/>
      <c r="D81" s="667"/>
      <c r="E81" s="667"/>
      <c r="F81" s="667"/>
      <c r="G81" s="667"/>
      <c r="H81" s="667"/>
      <c r="I81" s="667"/>
      <c r="J81" s="667"/>
      <c r="K81" s="667"/>
      <c r="L81" s="667"/>
      <c r="M81" s="667"/>
      <c r="N81" s="669"/>
      <c r="O81" s="669"/>
      <c r="P81" s="669"/>
      <c r="Q81" s="669"/>
      <c r="R81" s="669"/>
      <c r="S81" s="669"/>
      <c r="T81" s="669"/>
      <c r="U81" s="669"/>
      <c r="V81" s="669"/>
      <c r="W81" s="669"/>
      <c r="X81" s="669"/>
      <c r="Y81" s="669"/>
      <c r="Z81" s="669"/>
      <c r="AA81" s="669"/>
      <c r="AB81" s="669"/>
      <c r="AC81" s="669"/>
      <c r="AD81" s="669"/>
      <c r="AE81" s="669"/>
      <c r="AF81" s="669"/>
      <c r="AG81" s="669"/>
      <c r="AH81" s="669"/>
      <c r="AI81" s="669"/>
      <c r="AJ81" s="669"/>
      <c r="AK81" s="667"/>
      <c r="AL81" s="667"/>
      <c r="AM81" s="667"/>
      <c r="AN81" s="670"/>
    </row>
    <row r="82" spans="1:40" ht="6" customHeight="1">
      <c r="A82" s="439"/>
      <c r="B82" s="393"/>
      <c r="C82" s="393"/>
      <c r="D82" s="393"/>
      <c r="E82" s="393"/>
      <c r="F82" s="393"/>
      <c r="G82" s="393"/>
      <c r="H82" s="667"/>
      <c r="I82" s="667"/>
      <c r="J82" s="667"/>
      <c r="K82" s="667"/>
      <c r="L82" s="667"/>
      <c r="M82" s="667"/>
      <c r="N82" s="668"/>
      <c r="O82" s="668"/>
      <c r="P82" s="668"/>
      <c r="Q82" s="668"/>
      <c r="R82" s="668"/>
      <c r="S82" s="668"/>
      <c r="T82" s="668"/>
      <c r="U82" s="668"/>
      <c r="V82" s="668"/>
      <c r="W82" s="668"/>
      <c r="X82" s="668"/>
      <c r="Y82" s="668"/>
      <c r="Z82" s="668"/>
      <c r="AA82" s="668"/>
      <c r="AB82" s="668"/>
      <c r="AC82" s="668"/>
      <c r="AD82" s="668"/>
      <c r="AE82" s="668"/>
      <c r="AF82" s="668"/>
      <c r="AG82" s="668"/>
      <c r="AH82" s="667"/>
      <c r="AI82" s="667"/>
      <c r="AJ82" s="667"/>
      <c r="AK82" s="667"/>
      <c r="AL82" s="667"/>
      <c r="AM82" s="667"/>
      <c r="AN82" s="670"/>
    </row>
    <row r="83" spans="1:40" ht="15" customHeight="1" thickBot="1">
      <c r="A83" s="439"/>
      <c r="B83" s="667"/>
      <c r="C83" s="1630" t="str">
        <f>VLOOKUP("set up rate, actual:",Translations!$A:$T,MATCH(Cover!DR19,Translations!A2:M2,0),0)</f>
        <v>Set-up rate, actual:</v>
      </c>
      <c r="D83" s="1630"/>
      <c r="E83" s="1630"/>
      <c r="F83" s="1630"/>
      <c r="G83" s="1630"/>
      <c r="H83" s="1630"/>
      <c r="I83" s="1630"/>
      <c r="J83" s="1630"/>
      <c r="K83" s="1630"/>
      <c r="L83" s="1630"/>
      <c r="M83" s="1630"/>
      <c r="N83" s="1634" t="e">
        <f>I77/P77*60</f>
        <v>#VALUE!</v>
      </c>
      <c r="O83" s="1634"/>
      <c r="P83" s="1634"/>
      <c r="Q83" s="1634"/>
      <c r="R83" s="1633" t="str">
        <f>VLOOKUP("sec../ pc.",Translations!$A:$T,MATCH(Cover!DR19,Translations!A2:M2,0),0)</f>
        <v>sec./ pc.</v>
      </c>
      <c r="S83" s="1633"/>
      <c r="T83" s="1633"/>
      <c r="U83" s="1633"/>
      <c r="V83" s="1633"/>
      <c r="W83" s="668"/>
      <c r="X83" s="668"/>
      <c r="Y83" s="668"/>
      <c r="Z83" s="668"/>
      <c r="AA83" s="668"/>
      <c r="AB83" s="668"/>
      <c r="AC83" s="668"/>
      <c r="AD83" s="668"/>
      <c r="AE83" s="668"/>
      <c r="AF83" s="668"/>
      <c r="AG83" s="668"/>
      <c r="AH83" s="667"/>
      <c r="AI83" s="667"/>
      <c r="AJ83" s="667"/>
      <c r="AK83" s="667"/>
      <c r="AL83" s="667"/>
      <c r="AM83" s="667"/>
      <c r="AN83" s="670"/>
    </row>
    <row r="84" spans="1:40" ht="6" customHeight="1" thickTop="1">
      <c r="A84" s="439"/>
      <c r="B84" s="398"/>
      <c r="C84" s="398"/>
      <c r="D84" s="656"/>
      <c r="E84" s="395"/>
      <c r="F84" s="414"/>
      <c r="G84" s="395"/>
      <c r="H84" s="667"/>
      <c r="I84" s="667"/>
      <c r="J84" s="667"/>
      <c r="K84" s="667"/>
      <c r="L84" s="667"/>
      <c r="M84" s="667"/>
      <c r="N84" s="668"/>
      <c r="O84" s="668"/>
      <c r="P84" s="668"/>
      <c r="Q84" s="668"/>
      <c r="R84" s="668"/>
      <c r="S84" s="668"/>
      <c r="T84" s="668"/>
      <c r="U84" s="668"/>
      <c r="V84" s="668"/>
      <c r="W84" s="668"/>
      <c r="X84" s="668"/>
      <c r="Y84" s="668"/>
      <c r="Z84" s="668"/>
      <c r="AA84" s="668"/>
      <c r="AB84" s="668"/>
      <c r="AC84" s="668"/>
      <c r="AD84" s="668"/>
      <c r="AE84" s="668"/>
      <c r="AF84" s="668"/>
      <c r="AG84" s="668"/>
      <c r="AH84" s="667"/>
      <c r="AI84" s="667"/>
      <c r="AJ84" s="667"/>
      <c r="AK84" s="667"/>
      <c r="AL84" s="667"/>
      <c r="AM84" s="667"/>
      <c r="AN84" s="670"/>
    </row>
    <row r="85" spans="1:40" ht="15" customHeight="1" thickBot="1">
      <c r="A85" s="440"/>
      <c r="B85" s="667"/>
      <c r="C85" s="1631" t="str">
        <f>VLOOKUP("total time per piece:",Translations!$A:$T,MATCH(Cover!DR19,Translations!A2:M2,0),0)</f>
        <v>Total time per piece:</v>
      </c>
      <c r="D85" s="1631"/>
      <c r="E85" s="1631"/>
      <c r="F85" s="1631"/>
      <c r="G85" s="1631"/>
      <c r="H85" s="1631"/>
      <c r="I85" s="1631"/>
      <c r="J85" s="1631"/>
      <c r="K85" s="1631"/>
      <c r="L85" s="1631"/>
      <c r="M85" s="1631"/>
      <c r="N85" s="1635" t="e">
        <f>N80+N83</f>
        <v>#VALUE!</v>
      </c>
      <c r="O85" s="1635"/>
      <c r="P85" s="1635"/>
      <c r="Q85" s="1635"/>
      <c r="R85" s="1633" t="str">
        <f>VLOOKUP("sec../ pc.",Translations!$A:$T,MATCH(Cover!DR19,Translations!A2:M2,0),0)</f>
        <v>sec./ pc.</v>
      </c>
      <c r="S85" s="1633"/>
      <c r="T85" s="1633"/>
      <c r="U85" s="1633"/>
      <c r="V85" s="1633"/>
      <c r="W85" s="668"/>
      <c r="X85" s="668"/>
      <c r="Y85" s="668"/>
      <c r="Z85" s="668"/>
      <c r="AA85" s="668"/>
      <c r="AB85" s="668"/>
      <c r="AC85" s="668"/>
      <c r="AD85" s="668"/>
      <c r="AE85" s="668"/>
      <c r="AF85" s="668"/>
      <c r="AG85" s="668"/>
      <c r="AH85" s="667"/>
      <c r="AI85" s="667"/>
      <c r="AJ85" s="667"/>
      <c r="AK85" s="667"/>
      <c r="AL85" s="667"/>
      <c r="AM85" s="667"/>
      <c r="AN85" s="670"/>
    </row>
    <row r="86" spans="1:40" ht="6" customHeight="1" thickTop="1">
      <c r="A86" s="439"/>
      <c r="B86" s="394"/>
      <c r="C86" s="394"/>
      <c r="D86" s="397"/>
      <c r="E86" s="396"/>
      <c r="F86" s="414"/>
      <c r="G86" s="414"/>
      <c r="H86" s="667"/>
      <c r="I86" s="667"/>
      <c r="J86" s="667"/>
      <c r="K86" s="667"/>
      <c r="L86" s="667"/>
      <c r="M86" s="667"/>
      <c r="N86" s="668"/>
      <c r="O86" s="668"/>
      <c r="P86" s="668"/>
      <c r="Q86" s="668"/>
      <c r="R86" s="668"/>
      <c r="S86" s="668"/>
      <c r="T86" s="668"/>
      <c r="U86" s="668"/>
      <c r="V86" s="668"/>
      <c r="W86" s="668"/>
      <c r="X86" s="668"/>
      <c r="Y86" s="668"/>
      <c r="Z86" s="668"/>
      <c r="AA86" s="668"/>
      <c r="AB86" s="668"/>
      <c r="AC86" s="668"/>
      <c r="AD86" s="668"/>
      <c r="AE86" s="668"/>
      <c r="AF86" s="668"/>
      <c r="AG86" s="668"/>
      <c r="AH86" s="667"/>
      <c r="AI86" s="667"/>
      <c r="AJ86" s="667"/>
      <c r="AK86" s="667"/>
      <c r="AL86" s="667"/>
      <c r="AM86" s="667"/>
      <c r="AN86" s="670"/>
    </row>
    <row r="87" spans="1:40" ht="13.5" customHeight="1" thickBot="1">
      <c r="A87" s="666"/>
      <c r="B87" s="667"/>
      <c r="C87" s="1640" t="str">
        <f>VLOOKUP("scrap, actual:",Translations!$A:$T,MATCH(Cover!DR19,Translations!A2:M2,0),0)</f>
        <v>Scrap rate, actual:</v>
      </c>
      <c r="D87" s="1640"/>
      <c r="E87" s="1640"/>
      <c r="F87" s="1640"/>
      <c r="G87" s="1640"/>
      <c r="H87" s="1640"/>
      <c r="I87" s="1640"/>
      <c r="J87" s="1640"/>
      <c r="K87" s="1640"/>
      <c r="L87" s="1640"/>
      <c r="M87" s="1640"/>
      <c r="N87" s="1632" t="e">
        <f>P72/(P71+P72)*100</f>
        <v>#VALUE!</v>
      </c>
      <c r="O87" s="1632"/>
      <c r="P87" s="1632"/>
      <c r="Q87" s="1632"/>
      <c r="R87" s="551"/>
      <c r="S87" s="668" t="s">
        <v>842</v>
      </c>
      <c r="T87" s="668"/>
      <c r="U87" s="668"/>
      <c r="V87" s="668"/>
      <c r="W87" s="668"/>
      <c r="X87" s="668"/>
      <c r="Y87" s="668"/>
      <c r="Z87" s="668"/>
      <c r="AA87" s="668"/>
      <c r="AB87" s="668"/>
      <c r="AC87" s="668"/>
      <c r="AD87" s="668"/>
      <c r="AE87" s="668"/>
      <c r="AF87" s="668"/>
      <c r="AG87" s="668"/>
      <c r="AH87" s="667"/>
      <c r="AI87" s="667"/>
      <c r="AJ87" s="667"/>
      <c r="AK87" s="667"/>
      <c r="AL87" s="667"/>
      <c r="AM87" s="667"/>
      <c r="AN87" s="670"/>
    </row>
    <row r="88" spans="1:40" ht="6" customHeight="1" thickTop="1">
      <c r="A88" s="439"/>
      <c r="B88" s="398"/>
      <c r="C88" s="398"/>
      <c r="D88" s="656"/>
      <c r="E88" s="395"/>
      <c r="F88" s="414"/>
      <c r="G88" s="395"/>
      <c r="H88" s="667"/>
      <c r="I88" s="667"/>
      <c r="J88" s="667"/>
      <c r="K88" s="667"/>
      <c r="L88" s="667"/>
      <c r="M88" s="667"/>
      <c r="N88" s="668"/>
      <c r="O88" s="668"/>
      <c r="P88" s="668"/>
      <c r="Q88" s="668"/>
      <c r="R88" s="668"/>
      <c r="S88" s="668"/>
      <c r="T88" s="668"/>
      <c r="U88" s="668"/>
      <c r="V88" s="668"/>
      <c r="W88" s="668"/>
      <c r="X88" s="668"/>
      <c r="Y88" s="668"/>
      <c r="Z88" s="668"/>
      <c r="AA88" s="668"/>
      <c r="AB88" s="668"/>
      <c r="AC88" s="668"/>
      <c r="AD88" s="668"/>
      <c r="AE88" s="668"/>
      <c r="AF88" s="668"/>
      <c r="AG88" s="668"/>
      <c r="AH88" s="667"/>
      <c r="AI88" s="667"/>
      <c r="AJ88" s="667"/>
      <c r="AK88" s="667"/>
      <c r="AL88" s="667"/>
      <c r="AM88" s="667"/>
      <c r="AN88" s="670"/>
    </row>
    <row r="89" spans="1:40" ht="15" customHeight="1">
      <c r="A89" s="666"/>
      <c r="B89" s="667"/>
      <c r="C89" s="1636" t="str">
        <f>VLOOKUP("equipment availability, actual:",Translations!$A:$T,MATCH(Cover!DR19,Translations!A2:M2,0),0)</f>
        <v>Equipment availability, actual:</v>
      </c>
      <c r="D89" s="1636"/>
      <c r="E89" s="1636"/>
      <c r="F89" s="1636"/>
      <c r="G89" s="1636"/>
      <c r="H89" s="1636"/>
      <c r="I89" s="1636"/>
      <c r="J89" s="1636"/>
      <c r="K89" s="1636"/>
      <c r="L89" s="1636"/>
      <c r="M89" s="1636"/>
      <c r="N89" s="1637" t="s">
        <v>1413</v>
      </c>
      <c r="O89" s="1638"/>
      <c r="P89" s="1638"/>
      <c r="Q89" s="1639"/>
      <c r="R89" s="551"/>
      <c r="S89" s="668" t="s">
        <v>842</v>
      </c>
      <c r="T89" s="668"/>
      <c r="U89" s="668"/>
      <c r="V89" s="668"/>
      <c r="W89" s="668"/>
      <c r="X89" s="668"/>
      <c r="Y89" s="668"/>
      <c r="Z89" s="668"/>
      <c r="AA89" s="668"/>
      <c r="AB89" s="668"/>
      <c r="AC89" s="668"/>
      <c r="AD89" s="668"/>
      <c r="AE89" s="668"/>
      <c r="AF89" s="668"/>
      <c r="AG89" s="668"/>
      <c r="AH89" s="667"/>
      <c r="AI89" s="667"/>
      <c r="AJ89" s="667"/>
      <c r="AK89" s="667"/>
      <c r="AL89" s="667"/>
      <c r="AM89" s="667"/>
      <c r="AN89" s="670"/>
    </row>
    <row r="90" spans="1:40" ht="6" customHeight="1">
      <c r="A90" s="439"/>
      <c r="B90" s="398"/>
      <c r="C90" s="398"/>
      <c r="D90" s="656"/>
      <c r="E90" s="395"/>
      <c r="F90" s="414"/>
      <c r="G90" s="395"/>
      <c r="H90" s="667"/>
      <c r="I90" s="667"/>
      <c r="J90" s="667"/>
      <c r="K90" s="667"/>
      <c r="L90" s="667"/>
      <c r="M90" s="667"/>
      <c r="N90" s="668"/>
      <c r="O90" s="668"/>
      <c r="P90" s="668"/>
      <c r="Q90" s="668"/>
      <c r="R90" s="668"/>
      <c r="S90" s="668"/>
      <c r="T90" s="668"/>
      <c r="U90" s="668"/>
      <c r="V90" s="668"/>
      <c r="W90" s="668"/>
      <c r="X90" s="668"/>
      <c r="Y90" s="668"/>
      <c r="Z90" s="668"/>
      <c r="AA90" s="668"/>
      <c r="AB90" s="668"/>
      <c r="AC90" s="668"/>
      <c r="AD90" s="668"/>
      <c r="AE90" s="668"/>
      <c r="AF90" s="668"/>
      <c r="AG90" s="668"/>
      <c r="AH90" s="667"/>
      <c r="AI90" s="667"/>
      <c r="AJ90" s="667"/>
      <c r="AK90" s="667"/>
      <c r="AL90" s="667"/>
      <c r="AM90" s="667"/>
      <c r="AN90" s="670"/>
    </row>
    <row r="91" spans="1:40" ht="15" customHeight="1">
      <c r="A91" s="439"/>
      <c r="B91" s="667"/>
      <c r="C91" s="1636" t="str">
        <f>VLOOKUP("reserved capacity for mann+hummel:",Translations!$A:$T,MATCH(Cover!DR19,Translations!A2:M2,0),0)</f>
        <v>Reserved Capacity for MANN+HUMMEL:</v>
      </c>
      <c r="D91" s="1636"/>
      <c r="E91" s="1636"/>
      <c r="F91" s="1636"/>
      <c r="G91" s="1636"/>
      <c r="H91" s="1636"/>
      <c r="I91" s="1636"/>
      <c r="J91" s="1636"/>
      <c r="K91" s="1636"/>
      <c r="L91" s="1636"/>
      <c r="M91" s="1636"/>
      <c r="N91" s="1613" t="s">
        <v>1413</v>
      </c>
      <c r="O91" s="1614"/>
      <c r="P91" s="1614"/>
      <c r="Q91" s="1615"/>
      <c r="R91" s="551"/>
      <c r="S91" s="668" t="s">
        <v>842</v>
      </c>
      <c r="T91" s="668"/>
      <c r="U91" s="668"/>
      <c r="V91" s="668"/>
      <c r="W91" s="668"/>
      <c r="X91" s="668"/>
      <c r="Y91" s="668"/>
      <c r="Z91" s="668"/>
      <c r="AA91" s="668"/>
      <c r="AB91" s="668"/>
      <c r="AC91" s="668"/>
      <c r="AD91" s="668"/>
      <c r="AE91" s="668"/>
      <c r="AF91" s="668"/>
      <c r="AG91" s="668"/>
      <c r="AH91" s="667"/>
      <c r="AI91" s="667"/>
      <c r="AJ91" s="667"/>
      <c r="AK91" s="667"/>
      <c r="AL91" s="667"/>
      <c r="AM91" s="667"/>
      <c r="AN91" s="670"/>
    </row>
    <row r="92" spans="1:40" ht="13.5" customHeight="1">
      <c r="A92" s="439"/>
      <c r="B92" s="667"/>
      <c r="C92" s="655"/>
      <c r="D92" s="655"/>
      <c r="E92" s="655"/>
      <c r="F92" s="655"/>
      <c r="G92" s="655"/>
      <c r="H92" s="655"/>
      <c r="I92" s="655"/>
      <c r="J92" s="655"/>
      <c r="K92" s="655"/>
      <c r="L92" s="655"/>
      <c r="M92" s="655"/>
      <c r="N92" s="552"/>
      <c r="O92" s="552"/>
      <c r="P92" s="552"/>
      <c r="Q92" s="552"/>
      <c r="R92" s="551"/>
      <c r="S92" s="668"/>
      <c r="T92" s="668"/>
      <c r="U92" s="668"/>
      <c r="V92" s="668"/>
      <c r="W92" s="668"/>
      <c r="X92" s="668"/>
      <c r="Y92" s="668"/>
      <c r="Z92" s="668"/>
      <c r="AA92" s="668"/>
      <c r="AB92" s="668"/>
      <c r="AC92" s="668"/>
      <c r="AD92" s="668"/>
      <c r="AE92" s="668"/>
      <c r="AF92" s="668"/>
      <c r="AG92" s="668"/>
      <c r="AH92" s="667"/>
      <c r="AI92" s="667"/>
      <c r="AJ92" s="667"/>
      <c r="AK92" s="667"/>
      <c r="AL92" s="667"/>
      <c r="AM92" s="667"/>
      <c r="AN92" s="670"/>
    </row>
    <row r="93" spans="1:40" ht="15" customHeight="1">
      <c r="A93" s="439"/>
      <c r="B93" s="667"/>
      <c r="C93" s="1636" t="str">
        <f>VLOOKUP("# of same machines used in parallel:",Translations!$A:$T,MATCH(Cover!DR19,Translations!A2:M2,0),0)</f>
        <v># of same machines used in parallel:</v>
      </c>
      <c r="D93" s="1636"/>
      <c r="E93" s="1636"/>
      <c r="F93" s="1636"/>
      <c r="G93" s="1636"/>
      <c r="H93" s="1636"/>
      <c r="I93" s="1636"/>
      <c r="J93" s="1636"/>
      <c r="K93" s="1636"/>
      <c r="L93" s="1636"/>
      <c r="M93" s="1636"/>
      <c r="N93" s="1644" t="s">
        <v>1413</v>
      </c>
      <c r="O93" s="1645"/>
      <c r="P93" s="1608" t="str">
        <f>VLOOKUP("explanation # of same machines",Translations!$A:$T,MATCH(Cover!DR19,Translations!A2:M2,0),0)</f>
        <v>(&gt; 1 only if more than 1 machine will be operating at the same time)</v>
      </c>
      <c r="Q93" s="1609"/>
      <c r="R93" s="1609"/>
      <c r="S93" s="1609"/>
      <c r="T93" s="1609"/>
      <c r="U93" s="1609"/>
      <c r="V93" s="1609"/>
      <c r="W93" s="1609"/>
      <c r="X93" s="1609"/>
      <c r="Y93" s="1609"/>
      <c r="Z93" s="1609"/>
      <c r="AA93" s="1609"/>
      <c r="AB93" s="1609"/>
      <c r="AC93" s="1609"/>
      <c r="AD93" s="1609"/>
      <c r="AE93" s="1609"/>
      <c r="AF93" s="1609"/>
      <c r="AG93" s="1609"/>
      <c r="AH93" s="1609"/>
      <c r="AI93" s="1609"/>
      <c r="AJ93" s="667"/>
      <c r="AK93" s="667"/>
      <c r="AL93" s="667"/>
      <c r="AM93" s="667"/>
      <c r="AN93" s="670"/>
    </row>
    <row r="94" spans="1:40" ht="6" customHeight="1">
      <c r="A94" s="439"/>
      <c r="B94" s="667"/>
      <c r="C94" s="655"/>
      <c r="D94" s="655"/>
      <c r="E94" s="655"/>
      <c r="F94" s="655"/>
      <c r="G94" s="655"/>
      <c r="H94" s="655"/>
      <c r="I94" s="655"/>
      <c r="J94" s="655"/>
      <c r="K94" s="655"/>
      <c r="L94" s="655"/>
      <c r="M94" s="655"/>
      <c r="N94" s="668"/>
      <c r="O94" s="668"/>
      <c r="P94" s="668"/>
      <c r="Q94" s="668"/>
      <c r="R94" s="668"/>
      <c r="S94" s="668"/>
      <c r="T94" s="668"/>
      <c r="U94" s="668"/>
      <c r="V94" s="668"/>
      <c r="W94" s="668"/>
      <c r="X94" s="668"/>
      <c r="Y94" s="668"/>
      <c r="Z94" s="668"/>
      <c r="AA94" s="668"/>
      <c r="AB94" s="668"/>
      <c r="AC94" s="668"/>
      <c r="AD94" s="668"/>
      <c r="AE94" s="668"/>
      <c r="AF94" s="668"/>
      <c r="AG94" s="668"/>
      <c r="AH94" s="667"/>
      <c r="AI94" s="667"/>
      <c r="AJ94" s="667"/>
      <c r="AK94" s="667"/>
      <c r="AL94" s="667"/>
      <c r="AM94" s="667"/>
      <c r="AN94" s="670"/>
    </row>
    <row r="95" spans="1:40" ht="15" customHeight="1">
      <c r="A95" s="439"/>
      <c r="B95" s="461"/>
      <c r="C95" s="1636" t="str">
        <f>VLOOKUP("# of working days per week",Translations!$A:$T,MATCH(Cover!DR19,Translations!A2:M2,0),0)</f>
        <v># of working days per week</v>
      </c>
      <c r="D95" s="1636"/>
      <c r="E95" s="1636"/>
      <c r="F95" s="1636"/>
      <c r="G95" s="1636"/>
      <c r="H95" s="1636"/>
      <c r="I95" s="1636"/>
      <c r="J95" s="1636"/>
      <c r="K95" s="1636"/>
      <c r="L95" s="1636"/>
      <c r="M95" s="1643"/>
      <c r="N95" s="1641" t="s">
        <v>1413</v>
      </c>
      <c r="O95" s="1642"/>
      <c r="P95" s="1628" t="str">
        <f>VLOOKUP("days",Translations!$A:$T,MATCH(Cover!DR19,Translations!A2:M2,0),0)</f>
        <v>days</v>
      </c>
      <c r="Q95" s="1629"/>
      <c r="R95" s="668"/>
      <c r="S95" s="668"/>
      <c r="T95" s="668"/>
      <c r="U95" s="668"/>
      <c r="V95" s="668"/>
      <c r="W95" s="668"/>
      <c r="X95" s="668"/>
      <c r="Y95" s="668"/>
      <c r="Z95" s="668"/>
      <c r="AA95" s="668"/>
      <c r="AB95" s="668"/>
      <c r="AC95" s="668"/>
      <c r="AD95" s="668"/>
      <c r="AE95" s="668"/>
      <c r="AF95" s="668"/>
      <c r="AG95" s="668"/>
      <c r="AH95" s="667"/>
      <c r="AI95" s="667"/>
      <c r="AJ95" s="667"/>
      <c r="AK95" s="667"/>
      <c r="AL95" s="667"/>
      <c r="AM95" s="667"/>
      <c r="AN95" s="670"/>
    </row>
    <row r="96" spans="1:40" ht="6" customHeight="1">
      <c r="A96" s="439"/>
      <c r="B96" s="461"/>
      <c r="C96" s="398"/>
      <c r="D96" s="655"/>
      <c r="E96" s="655"/>
      <c r="F96" s="655"/>
      <c r="G96" s="655"/>
      <c r="H96" s="655"/>
      <c r="I96" s="655"/>
      <c r="J96" s="655"/>
      <c r="K96" s="655"/>
      <c r="L96" s="655"/>
      <c r="M96" s="655"/>
      <c r="N96" s="668"/>
      <c r="O96" s="668"/>
      <c r="P96" s="668"/>
      <c r="Q96" s="668"/>
      <c r="R96" s="668"/>
      <c r="S96" s="668"/>
      <c r="T96" s="668"/>
      <c r="U96" s="668"/>
      <c r="V96" s="668"/>
      <c r="W96" s="668"/>
      <c r="X96" s="668"/>
      <c r="Y96" s="668"/>
      <c r="Z96" s="668"/>
      <c r="AA96" s="668"/>
      <c r="AB96" s="668"/>
      <c r="AC96" s="668"/>
      <c r="AD96" s="668"/>
      <c r="AE96" s="668"/>
      <c r="AF96" s="668"/>
      <c r="AG96" s="668"/>
      <c r="AH96" s="667"/>
      <c r="AI96" s="667"/>
      <c r="AJ96" s="667"/>
      <c r="AK96" s="667"/>
      <c r="AL96" s="667"/>
      <c r="AM96" s="667"/>
      <c r="AN96" s="670"/>
    </row>
    <row r="97" spans="1:40" ht="15" customHeight="1">
      <c r="A97" s="439"/>
      <c r="B97" s="461"/>
      <c r="C97" s="1636" t="str">
        <f>VLOOKUP("# of working days per year",Translations!$A:$T,MATCH(Cover!DR19,Translations!A2:M2,0),0)</f>
        <v># of working days per year</v>
      </c>
      <c r="D97" s="1636"/>
      <c r="E97" s="1636"/>
      <c r="F97" s="1636"/>
      <c r="G97" s="1636"/>
      <c r="H97" s="1636"/>
      <c r="I97" s="1636"/>
      <c r="J97" s="1636"/>
      <c r="K97" s="1636"/>
      <c r="L97" s="1636"/>
      <c r="M97" s="1643"/>
      <c r="N97" s="1641" t="s">
        <v>1413</v>
      </c>
      <c r="O97" s="1642"/>
      <c r="P97" s="1628" t="str">
        <f>VLOOKUP("days",Translations!$A:$T,MATCH(Cover!DR19,Translations!A2:M2,0),0)</f>
        <v>days</v>
      </c>
      <c r="Q97" s="1629"/>
      <c r="R97" s="668"/>
      <c r="S97" s="668"/>
      <c r="T97" s="668"/>
      <c r="U97" s="668"/>
      <c r="V97" s="668"/>
      <c r="W97" s="668"/>
      <c r="X97" s="668"/>
      <c r="Y97" s="668"/>
      <c r="Z97" s="668"/>
      <c r="AA97" s="668"/>
      <c r="AB97" s="668"/>
      <c r="AC97" s="668"/>
      <c r="AD97" s="668"/>
      <c r="AE97" s="668"/>
      <c r="AF97" s="668"/>
      <c r="AG97" s="668"/>
      <c r="AH97" s="667"/>
      <c r="AI97" s="667"/>
      <c r="AJ97" s="667"/>
      <c r="AK97" s="667"/>
      <c r="AL97" s="667"/>
      <c r="AM97" s="667"/>
      <c r="AN97" s="670"/>
    </row>
    <row r="98" spans="1:40" ht="6" customHeight="1">
      <c r="A98" s="439"/>
      <c r="B98" s="415"/>
      <c r="C98" s="415"/>
      <c r="D98" s="414"/>
      <c r="E98" s="414"/>
      <c r="F98" s="414"/>
      <c r="G98" s="414"/>
      <c r="H98" s="667"/>
      <c r="I98" s="667"/>
      <c r="J98" s="667"/>
      <c r="K98" s="667"/>
      <c r="L98" s="667"/>
      <c r="M98" s="667"/>
      <c r="N98" s="667"/>
      <c r="O98" s="667"/>
      <c r="P98" s="667"/>
      <c r="Q98" s="667"/>
      <c r="R98" s="667"/>
      <c r="S98" s="667"/>
      <c r="T98" s="667"/>
      <c r="U98" s="667"/>
      <c r="V98" s="667"/>
      <c r="W98" s="667"/>
      <c r="X98" s="667"/>
      <c r="Y98" s="667"/>
      <c r="Z98" s="667"/>
      <c r="AA98" s="667"/>
      <c r="AB98" s="667"/>
      <c r="AC98" s="667"/>
      <c r="AD98" s="667"/>
      <c r="AE98" s="667"/>
      <c r="AF98" s="667"/>
      <c r="AG98" s="667"/>
      <c r="AH98" s="667"/>
      <c r="AI98" s="667"/>
      <c r="AJ98" s="667"/>
      <c r="AK98" s="667"/>
      <c r="AL98" s="667"/>
      <c r="AM98" s="667"/>
      <c r="AN98" s="670"/>
    </row>
    <row r="99" spans="1:40" ht="3" customHeight="1">
      <c r="A99" s="439"/>
      <c r="B99" s="460"/>
      <c r="C99" s="460"/>
      <c r="D99" s="458"/>
      <c r="E99" s="458"/>
      <c r="F99" s="458"/>
      <c r="G99" s="458"/>
      <c r="H99" s="402"/>
      <c r="I99" s="402"/>
      <c r="J99" s="402"/>
      <c r="K99" s="402"/>
      <c r="L99" s="402"/>
      <c r="M99" s="402"/>
      <c r="N99" s="402"/>
      <c r="O99" s="402"/>
      <c r="P99" s="402"/>
      <c r="Q99" s="402"/>
      <c r="R99" s="402"/>
      <c r="S99" s="402"/>
      <c r="T99" s="402"/>
      <c r="U99" s="402"/>
      <c r="V99" s="402"/>
      <c r="W99" s="402"/>
      <c r="X99" s="402"/>
      <c r="Y99" s="402"/>
      <c r="Z99" s="402"/>
      <c r="AA99" s="402"/>
      <c r="AB99" s="402"/>
      <c r="AC99" s="402"/>
      <c r="AD99" s="402"/>
      <c r="AE99" s="402"/>
      <c r="AF99" s="402"/>
      <c r="AG99" s="402"/>
      <c r="AH99" s="402"/>
      <c r="AI99" s="402"/>
      <c r="AJ99" s="402"/>
      <c r="AK99" s="402"/>
      <c r="AL99" s="402"/>
      <c r="AM99" s="402"/>
      <c r="AN99" s="454"/>
    </row>
    <row r="100" spans="1:40" ht="15" customHeight="1" thickBot="1">
      <c r="A100" s="539"/>
      <c r="B100" s="25"/>
      <c r="C100" s="25"/>
      <c r="D100" s="1617" t="str">
        <f>VLOOKUP("quantities:",Translations!$A:$T,MATCH(Cover!DR19,Translations!A2:M2,0),0)</f>
        <v>Quantities:</v>
      </c>
      <c r="E100" s="1617"/>
      <c r="F100" s="1617"/>
      <c r="G100" s="1617"/>
      <c r="H100" s="1617"/>
      <c r="I100" s="1617"/>
      <c r="J100" s="414"/>
      <c r="K100" s="414"/>
      <c r="L100" s="1688" t="e">
        <f>(M65*60-I67)*(100-N87)/100*N89/100*60/N85*N93</f>
        <v>#VALUE!</v>
      </c>
      <c r="M100" s="1688"/>
      <c r="N100" s="1688"/>
      <c r="O100" s="1688"/>
      <c r="P100" s="1617" t="str">
        <f>VLOOKUP("max. pc./shift estipolated",Translations!$A:$T,MATCH(Cover!DR19,Translations!A2:M2,0),0)</f>
        <v>max. pc. / shift estipolated</v>
      </c>
      <c r="Q100" s="1617"/>
      <c r="R100" s="1617"/>
      <c r="S100" s="1617"/>
      <c r="T100" s="1617"/>
      <c r="U100" s="1617"/>
      <c r="V100" s="1617"/>
      <c r="W100" s="1617"/>
      <c r="X100" s="1617"/>
      <c r="Y100" s="1617"/>
      <c r="Z100" s="1617"/>
      <c r="AA100" s="1617"/>
      <c r="AB100" s="1617"/>
      <c r="AC100" s="1617"/>
      <c r="AD100" s="1617"/>
      <c r="AE100" s="1617"/>
      <c r="AF100" s="1617"/>
      <c r="AG100" s="1617"/>
      <c r="AH100" s="1617"/>
      <c r="AI100" s="1617"/>
      <c r="AJ100" s="1617"/>
      <c r="AK100" s="1617"/>
      <c r="AL100" s="1617"/>
      <c r="AM100" s="1617"/>
      <c r="AN100" s="387"/>
    </row>
    <row r="101" spans="1:40" ht="15" customHeight="1" thickTop="1" thickBot="1">
      <c r="A101" s="539"/>
      <c r="B101" s="25"/>
      <c r="C101" s="25"/>
      <c r="D101" s="25"/>
      <c r="E101" s="25"/>
      <c r="F101" s="25"/>
      <c r="G101" s="25"/>
      <c r="H101" s="414"/>
      <c r="I101" s="414"/>
      <c r="J101" s="414"/>
      <c r="K101" s="414"/>
      <c r="L101" s="1689" t="e">
        <f>L100*N91/100</f>
        <v>#VALUE!</v>
      </c>
      <c r="M101" s="1689"/>
      <c r="N101" s="1689"/>
      <c r="O101" s="1689"/>
      <c r="P101" s="1617" t="str">
        <f>VLOOKUP("pc / shift at reserved capacity",Translations!$A:$T,MATCH(Cover!DR19,Translations!A2:M2,0),0)</f>
        <v>pc / shift at reserved capacity</v>
      </c>
      <c r="Q101" s="1617"/>
      <c r="R101" s="1617"/>
      <c r="S101" s="1617"/>
      <c r="T101" s="1617"/>
      <c r="U101" s="1617"/>
      <c r="V101" s="1617"/>
      <c r="W101" s="1617"/>
      <c r="X101" s="1617"/>
      <c r="Y101" s="1617"/>
      <c r="Z101" s="1617"/>
      <c r="AA101" s="1617"/>
      <c r="AB101" s="1617"/>
      <c r="AC101" s="1617"/>
      <c r="AD101" s="1617"/>
      <c r="AE101" s="1617"/>
      <c r="AF101" s="1617"/>
      <c r="AG101" s="1617"/>
      <c r="AH101" s="1617"/>
      <c r="AI101" s="1617"/>
      <c r="AJ101" s="1617"/>
      <c r="AK101" s="1617"/>
      <c r="AL101" s="1617"/>
      <c r="AM101" s="1617"/>
      <c r="AN101" s="387"/>
    </row>
    <row r="102" spans="1:40" ht="15" customHeight="1" thickTop="1" thickBot="1">
      <c r="A102" s="539"/>
      <c r="B102" s="25"/>
      <c r="C102" s="25"/>
      <c r="D102" s="25"/>
      <c r="E102" s="25"/>
      <c r="F102" s="25"/>
      <c r="G102" s="25"/>
      <c r="H102" s="414"/>
      <c r="I102" s="414"/>
      <c r="J102" s="414"/>
      <c r="K102" s="414"/>
      <c r="L102" s="1689" t="e">
        <f>L101*I65/N95</f>
        <v>#VALUE!</v>
      </c>
      <c r="M102" s="1689"/>
      <c r="N102" s="1689"/>
      <c r="O102" s="1689"/>
      <c r="P102" s="1617" t="str">
        <f>VLOOKUP("pc. / day at reserved capacity",Translations!$A:$T,MATCH(Cover!DR19,Translations!A2:M2,0),0)</f>
        <v>pc. / day at reserved capacity</v>
      </c>
      <c r="Q102" s="1617"/>
      <c r="R102" s="1617"/>
      <c r="S102" s="1617"/>
      <c r="T102" s="1617"/>
      <c r="U102" s="1617"/>
      <c r="V102" s="1617"/>
      <c r="W102" s="1617"/>
      <c r="X102" s="1617"/>
      <c r="Y102" s="1617"/>
      <c r="Z102" s="1617"/>
      <c r="AA102" s="1617"/>
      <c r="AB102" s="1617"/>
      <c r="AC102" s="1617"/>
      <c r="AD102" s="1617"/>
      <c r="AE102" s="1617"/>
      <c r="AF102" s="1617"/>
      <c r="AG102" s="1617"/>
      <c r="AH102" s="1617"/>
      <c r="AI102" s="1617"/>
      <c r="AJ102" s="1617"/>
      <c r="AK102" s="1617"/>
      <c r="AL102" s="1617"/>
      <c r="AM102" s="1617"/>
      <c r="AN102" s="387"/>
    </row>
    <row r="103" spans="1:40" ht="15" customHeight="1" thickTop="1" thickBot="1">
      <c r="A103" s="539"/>
      <c r="B103" s="25"/>
      <c r="C103" s="25"/>
      <c r="D103" s="25"/>
      <c r="E103" s="25"/>
      <c r="F103" s="25"/>
      <c r="G103" s="25"/>
      <c r="H103" s="414"/>
      <c r="I103" s="414"/>
      <c r="J103" s="414"/>
      <c r="K103" s="414"/>
      <c r="L103" s="1689" t="e">
        <f>L101*I65</f>
        <v>#VALUE!</v>
      </c>
      <c r="M103" s="1689"/>
      <c r="N103" s="1689"/>
      <c r="O103" s="1689"/>
      <c r="P103" s="1617" t="str">
        <f>VLOOKUP("pc. / week at reserved capacity",Translations!$A:$T,MATCH(Cover!DR19,Translations!A2:M2,0),0)</f>
        <v>pc. / week at reserved capacity</v>
      </c>
      <c r="Q103" s="1617"/>
      <c r="R103" s="1617"/>
      <c r="S103" s="1617"/>
      <c r="T103" s="1617"/>
      <c r="U103" s="1617"/>
      <c r="V103" s="1617"/>
      <c r="W103" s="1617"/>
      <c r="X103" s="1617"/>
      <c r="Y103" s="1617"/>
      <c r="Z103" s="1617"/>
      <c r="AA103" s="1617"/>
      <c r="AB103" s="1617"/>
      <c r="AC103" s="1617"/>
      <c r="AD103" s="1617"/>
      <c r="AE103" s="1617"/>
      <c r="AF103" s="1617"/>
      <c r="AG103" s="1617"/>
      <c r="AH103" s="1617"/>
      <c r="AI103" s="1617"/>
      <c r="AJ103" s="1617"/>
      <c r="AK103" s="1617"/>
      <c r="AL103" s="1617"/>
      <c r="AM103" s="1617"/>
      <c r="AN103" s="387"/>
    </row>
    <row r="104" spans="1:40" ht="15" customHeight="1" thickTop="1" thickBot="1">
      <c r="A104" s="539"/>
      <c r="B104" s="437"/>
      <c r="C104" s="25"/>
      <c r="D104" s="25"/>
      <c r="E104" s="25"/>
      <c r="F104" s="25"/>
      <c r="G104" s="25"/>
      <c r="H104" s="414"/>
      <c r="I104" s="414"/>
      <c r="J104" s="414"/>
      <c r="K104" s="414"/>
      <c r="L104" s="1689" t="e">
        <f>L102*N97</f>
        <v>#VALUE!</v>
      </c>
      <c r="M104" s="1689"/>
      <c r="N104" s="1689"/>
      <c r="O104" s="1689"/>
      <c r="P104" s="1617" t="str">
        <f>VLOOKUP("pc. / year at reserved capacity",Translations!$A:$T,MATCH(Cover!DR19,Translations!A2:M2,0),0)</f>
        <v>pc. / year at reserved capacity</v>
      </c>
      <c r="Q104" s="1617"/>
      <c r="R104" s="1617"/>
      <c r="S104" s="1617"/>
      <c r="T104" s="1617"/>
      <c r="U104" s="1617"/>
      <c r="V104" s="1617"/>
      <c r="W104" s="1617"/>
      <c r="X104" s="1617"/>
      <c r="Y104" s="1617"/>
      <c r="Z104" s="1617"/>
      <c r="AA104" s="1617"/>
      <c r="AB104" s="1617"/>
      <c r="AC104" s="1617"/>
      <c r="AD104" s="1617"/>
      <c r="AE104" s="1617"/>
      <c r="AF104" s="1617"/>
      <c r="AG104" s="1617"/>
      <c r="AH104" s="1617"/>
      <c r="AI104" s="1617"/>
      <c r="AJ104" s="1617"/>
      <c r="AK104" s="1617"/>
      <c r="AL104" s="1617"/>
      <c r="AM104" s="1617"/>
      <c r="AN104" s="387"/>
    </row>
    <row r="105" spans="1:40" ht="6" customHeight="1" thickTop="1">
      <c r="A105" s="539"/>
      <c r="B105" s="673"/>
      <c r="C105" s="673"/>
      <c r="D105" s="673"/>
      <c r="E105" s="673"/>
      <c r="F105" s="673"/>
      <c r="G105" s="674"/>
      <c r="H105" s="25"/>
      <c r="I105" s="25"/>
      <c r="J105" s="25"/>
      <c r="K105" s="25"/>
      <c r="L105" s="25"/>
      <c r="M105" s="25"/>
      <c r="N105" s="25"/>
      <c r="O105" s="25"/>
      <c r="P105" s="25"/>
      <c r="Q105" s="25"/>
      <c r="R105" s="25"/>
      <c r="S105" s="25"/>
      <c r="T105" s="25"/>
      <c r="U105" s="25"/>
      <c r="V105" s="25"/>
      <c r="W105" s="25"/>
      <c r="X105" s="25"/>
      <c r="Y105" s="25"/>
      <c r="Z105" s="25"/>
      <c r="AA105" s="25"/>
      <c r="AB105" s="25"/>
      <c r="AC105" s="25"/>
      <c r="AD105" s="25"/>
      <c r="AE105" s="25"/>
      <c r="AF105" s="25"/>
      <c r="AG105" s="25"/>
      <c r="AH105" s="25"/>
      <c r="AI105" s="25"/>
      <c r="AJ105" s="25"/>
      <c r="AK105" s="25"/>
      <c r="AL105" s="25"/>
      <c r="AM105" s="25"/>
      <c r="AN105" s="387"/>
    </row>
    <row r="106" spans="1:40" ht="15.75" customHeight="1">
      <c r="A106" s="675"/>
      <c r="B106" s="1678" t="str">
        <f>VLOOKUP("bemerkungenlieferant",Translations!$A:$T,MATCH(Cover!DR19,Translations!A2:M2,0),0)</f>
        <v>Comments Supplier:</v>
      </c>
      <c r="C106" s="1678"/>
      <c r="D106" s="1678"/>
      <c r="E106" s="1678"/>
      <c r="F106" s="1678"/>
      <c r="G106" s="1678"/>
      <c r="H106" s="1678"/>
      <c r="I106" s="402"/>
      <c r="J106" s="402"/>
      <c r="K106" s="402"/>
      <c r="L106" s="402"/>
      <c r="M106" s="402"/>
      <c r="N106" s="402"/>
      <c r="O106" s="402"/>
      <c r="P106" s="402"/>
      <c r="Q106" s="402"/>
      <c r="R106" s="402"/>
      <c r="S106" s="402"/>
      <c r="T106" s="402"/>
      <c r="U106" s="402"/>
      <c r="V106" s="402"/>
      <c r="W106" s="402"/>
      <c r="X106" s="402"/>
      <c r="Y106" s="402"/>
      <c r="Z106" s="402"/>
      <c r="AA106" s="402"/>
      <c r="AB106" s="402"/>
      <c r="AC106" s="402"/>
      <c r="AD106" s="402"/>
      <c r="AE106" s="402"/>
      <c r="AF106" s="402"/>
      <c r="AG106" s="402"/>
      <c r="AH106" s="402"/>
      <c r="AI106" s="402"/>
      <c r="AJ106" s="402"/>
      <c r="AK106" s="402"/>
      <c r="AL106" s="402"/>
      <c r="AM106" s="402"/>
      <c r="AN106" s="454"/>
    </row>
    <row r="107" spans="1:40" ht="99.75" customHeight="1">
      <c r="A107" s="1679"/>
      <c r="B107" s="1680"/>
      <c r="C107" s="1680"/>
      <c r="D107" s="1680"/>
      <c r="E107" s="1680"/>
      <c r="F107" s="1680"/>
      <c r="G107" s="1680"/>
      <c r="H107" s="1680"/>
      <c r="I107" s="1680"/>
      <c r="J107" s="1680"/>
      <c r="K107" s="1680"/>
      <c r="L107" s="1680"/>
      <c r="M107" s="1680"/>
      <c r="N107" s="1680"/>
      <c r="O107" s="1680"/>
      <c r="P107" s="1680"/>
      <c r="Q107" s="1680"/>
      <c r="R107" s="1680"/>
      <c r="S107" s="1680"/>
      <c r="T107" s="1680"/>
      <c r="U107" s="1680"/>
      <c r="V107" s="1680"/>
      <c r="W107" s="1680"/>
      <c r="X107" s="1680"/>
      <c r="Y107" s="1680"/>
      <c r="Z107" s="1680"/>
      <c r="AA107" s="1680"/>
      <c r="AB107" s="1680"/>
      <c r="AC107" s="1680"/>
      <c r="AD107" s="1680"/>
      <c r="AE107" s="1680"/>
      <c r="AF107" s="1680"/>
      <c r="AG107" s="1680"/>
      <c r="AH107" s="1680"/>
      <c r="AI107" s="1680"/>
      <c r="AJ107" s="1680"/>
      <c r="AK107" s="1680"/>
      <c r="AL107" s="1680"/>
      <c r="AM107" s="1680"/>
      <c r="AN107" s="1681"/>
    </row>
    <row r="108" spans="1:40" ht="57" customHeight="1" thickBot="1">
      <c r="A108" s="676"/>
      <c r="B108" s="1682" t="str">
        <f>VLOOKUP("remarks: the number of parts for the performance",Translations!$A:$T,MATCH(Cover!DR19,Translations!A2:M2,0),0)</f>
        <v>Remarks:   
The amount of parts to be produced during the Run@Rate shall be specified by the Supplier depending on actual shift model, recruitment situation, quantity needed for ramp-up, etc. If peak production level cannot be met with the current shift model, measures must be defined by the Supplier (e.g. increase of capacity with timing, reduction of scrap or rework rate, reduction of product cycle time, etc).</v>
      </c>
      <c r="C108" s="1682"/>
      <c r="D108" s="1682"/>
      <c r="E108" s="1682"/>
      <c r="F108" s="1682"/>
      <c r="G108" s="1682"/>
      <c r="H108" s="1682"/>
      <c r="I108" s="1682"/>
      <c r="J108" s="1682"/>
      <c r="K108" s="1682"/>
      <c r="L108" s="1682"/>
      <c r="M108" s="1682"/>
      <c r="N108" s="1682"/>
      <c r="O108" s="1682"/>
      <c r="P108" s="1682"/>
      <c r="Q108" s="1682"/>
      <c r="R108" s="1682"/>
      <c r="S108" s="1682"/>
      <c r="T108" s="1682"/>
      <c r="U108" s="1682"/>
      <c r="V108" s="1682"/>
      <c r="W108" s="1682"/>
      <c r="X108" s="1682"/>
      <c r="Y108" s="1682"/>
      <c r="Z108" s="1682"/>
      <c r="AA108" s="1682"/>
      <c r="AB108" s="1682"/>
      <c r="AC108" s="1682"/>
      <c r="AD108" s="1682"/>
      <c r="AE108" s="1682"/>
      <c r="AF108" s="1682"/>
      <c r="AG108" s="1682"/>
      <c r="AH108" s="1682"/>
      <c r="AI108" s="1682"/>
      <c r="AJ108" s="1682"/>
      <c r="AK108" s="1682"/>
      <c r="AL108" s="1682"/>
      <c r="AM108" s="1682"/>
      <c r="AN108" s="1683"/>
    </row>
    <row r="109" spans="1:40" ht="13.5" customHeight="1">
      <c r="A109" s="265"/>
      <c r="B109" s="578"/>
      <c r="C109" s="578"/>
      <c r="D109" s="578"/>
      <c r="E109" s="578"/>
      <c r="F109" s="578"/>
      <c r="G109" s="265"/>
      <c r="H109" s="265"/>
      <c r="I109" s="265"/>
      <c r="J109" s="265"/>
      <c r="K109" s="265"/>
      <c r="L109" s="265"/>
      <c r="M109" s="265"/>
      <c r="N109" s="265"/>
      <c r="O109" s="265"/>
      <c r="P109" s="265"/>
      <c r="Q109" s="265"/>
      <c r="R109" s="265"/>
      <c r="S109" s="265"/>
      <c r="T109" s="265"/>
      <c r="U109" s="265"/>
      <c r="V109" s="265"/>
      <c r="W109" s="265"/>
      <c r="X109" s="265"/>
      <c r="Y109" s="265"/>
      <c r="Z109" s="265"/>
      <c r="AA109" s="265"/>
      <c r="AB109" s="265"/>
      <c r="AC109" s="265"/>
      <c r="AD109" s="265"/>
      <c r="AE109" s="265"/>
      <c r="AF109" s="265"/>
      <c r="AG109" s="265"/>
      <c r="AH109" s="265"/>
      <c r="AI109" s="265"/>
      <c r="AJ109" s="265"/>
      <c r="AK109" s="265"/>
      <c r="AL109" s="265"/>
      <c r="AM109" s="265"/>
      <c r="AN109" s="265"/>
    </row>
    <row r="110" spans="1:40">
      <c r="A110" s="564"/>
      <c r="B110" s="564"/>
      <c r="C110" s="564"/>
      <c r="D110" s="564"/>
      <c r="E110" s="564"/>
      <c r="F110" s="564"/>
      <c r="G110" s="564"/>
      <c r="H110" s="564"/>
      <c r="I110" s="564"/>
      <c r="J110" s="564"/>
      <c r="K110" s="564"/>
      <c r="L110" s="564"/>
      <c r="M110" s="564"/>
      <c r="N110" s="564"/>
      <c r="O110" s="564"/>
      <c r="P110" s="564"/>
      <c r="Q110" s="564"/>
      <c r="R110" s="564"/>
      <c r="S110" s="564"/>
      <c r="T110" s="564"/>
      <c r="U110" s="564"/>
      <c r="V110" s="564"/>
      <c r="W110" s="564"/>
      <c r="X110" s="564"/>
      <c r="Y110" s="564"/>
      <c r="Z110" s="564"/>
      <c r="AA110" s="564"/>
      <c r="AB110" s="564"/>
      <c r="AC110" s="564"/>
      <c r="AD110" s="564"/>
      <c r="AE110" s="564"/>
      <c r="AF110" s="564"/>
      <c r="AG110" s="564"/>
      <c r="AH110" s="564"/>
      <c r="AI110" s="564"/>
      <c r="AJ110" s="564"/>
      <c r="AK110" s="564"/>
      <c r="AL110" s="564"/>
      <c r="AM110" s="564"/>
      <c r="AN110" s="564"/>
    </row>
    <row r="111" spans="1:40">
      <c r="A111" s="564"/>
      <c r="B111" s="564"/>
      <c r="C111" s="564"/>
      <c r="D111" s="564"/>
      <c r="E111" s="564"/>
      <c r="F111" s="564"/>
      <c r="G111" s="564"/>
      <c r="H111" s="564"/>
      <c r="I111" s="564"/>
      <c r="J111" s="564"/>
      <c r="K111" s="564"/>
      <c r="L111" s="564"/>
      <c r="M111" s="564"/>
      <c r="N111" s="564"/>
      <c r="O111" s="564"/>
      <c r="P111" s="564"/>
      <c r="Q111" s="564"/>
      <c r="R111" s="564"/>
      <c r="S111" s="564"/>
      <c r="T111" s="564"/>
      <c r="U111" s="564"/>
      <c r="V111" s="564"/>
      <c r="W111" s="564"/>
      <c r="X111" s="564"/>
      <c r="Y111" s="564"/>
      <c r="Z111" s="564"/>
      <c r="AA111" s="564"/>
      <c r="AB111" s="564"/>
      <c r="AC111" s="564"/>
      <c r="AD111" s="564"/>
      <c r="AE111" s="564"/>
      <c r="AF111" s="564"/>
      <c r="AG111" s="564"/>
      <c r="AH111" s="564"/>
      <c r="AI111" s="564"/>
      <c r="AJ111" s="564"/>
      <c r="AK111" s="564"/>
      <c r="AL111" s="564"/>
      <c r="AM111" s="564"/>
      <c r="AN111" s="564"/>
    </row>
    <row r="112" spans="1:40">
      <c r="A112" s="564"/>
      <c r="B112" s="564"/>
      <c r="C112" s="564"/>
      <c r="D112" s="564"/>
      <c r="E112" s="564"/>
      <c r="F112" s="564"/>
      <c r="G112" s="564"/>
      <c r="H112" s="564"/>
      <c r="I112" s="564"/>
      <c r="J112" s="564"/>
      <c r="K112" s="564"/>
      <c r="L112" s="564"/>
      <c r="M112" s="564"/>
      <c r="N112" s="564"/>
      <c r="O112" s="564"/>
      <c r="P112" s="564"/>
      <c r="Q112" s="564"/>
      <c r="R112" s="564"/>
      <c r="S112" s="564"/>
      <c r="T112" s="564"/>
      <c r="U112" s="564"/>
      <c r="V112" s="564"/>
      <c r="W112" s="564"/>
      <c r="X112" s="564"/>
      <c r="Y112" s="564"/>
      <c r="Z112" s="564"/>
      <c r="AA112" s="564"/>
      <c r="AB112" s="564"/>
      <c r="AC112" s="564"/>
      <c r="AD112" s="564"/>
      <c r="AE112" s="564"/>
      <c r="AF112" s="564"/>
      <c r="AG112" s="564"/>
      <c r="AH112" s="564"/>
      <c r="AI112" s="564"/>
      <c r="AJ112" s="564"/>
      <c r="AK112" s="564"/>
      <c r="AL112" s="564"/>
      <c r="AM112" s="564"/>
      <c r="AN112" s="564"/>
    </row>
    <row r="113" spans="1:40">
      <c r="A113" s="564"/>
      <c r="B113" s="564"/>
      <c r="C113" s="564"/>
      <c r="D113" s="564"/>
      <c r="E113" s="564"/>
      <c r="F113" s="564"/>
      <c r="G113" s="564"/>
      <c r="H113" s="564"/>
      <c r="I113" s="564"/>
      <c r="J113" s="564"/>
      <c r="K113" s="564"/>
      <c r="L113" s="564"/>
      <c r="M113" s="564"/>
      <c r="N113" s="564"/>
      <c r="O113" s="564"/>
      <c r="P113" s="564"/>
      <c r="Q113" s="564"/>
      <c r="R113" s="564"/>
      <c r="S113" s="564"/>
      <c r="T113" s="564"/>
      <c r="U113" s="564"/>
      <c r="V113" s="564"/>
      <c r="W113" s="564"/>
      <c r="X113" s="564"/>
      <c r="Y113" s="564"/>
      <c r="Z113" s="564"/>
      <c r="AA113" s="564"/>
      <c r="AB113" s="564"/>
      <c r="AC113" s="564"/>
      <c r="AD113" s="564"/>
      <c r="AE113" s="564"/>
      <c r="AF113" s="564"/>
      <c r="AG113" s="564"/>
      <c r="AH113" s="564"/>
      <c r="AI113" s="564"/>
      <c r="AJ113" s="564"/>
      <c r="AK113" s="564"/>
      <c r="AL113" s="564"/>
      <c r="AM113" s="564"/>
      <c r="AN113" s="564"/>
    </row>
    <row r="114" spans="1:40">
      <c r="A114" s="564"/>
      <c r="B114" s="564"/>
      <c r="C114" s="564"/>
      <c r="D114" s="564"/>
      <c r="E114" s="564"/>
      <c r="F114" s="564"/>
      <c r="G114" s="564"/>
      <c r="H114" s="564"/>
      <c r="I114" s="564"/>
      <c r="J114" s="564"/>
      <c r="K114" s="564"/>
      <c r="L114" s="564"/>
      <c r="M114" s="564"/>
      <c r="N114" s="564"/>
      <c r="O114" s="564"/>
      <c r="P114" s="564"/>
      <c r="Q114" s="564"/>
      <c r="R114" s="564"/>
      <c r="S114" s="564"/>
      <c r="T114" s="564"/>
      <c r="U114" s="564"/>
      <c r="V114" s="564"/>
      <c r="W114" s="564"/>
      <c r="X114" s="564"/>
      <c r="Y114" s="564"/>
      <c r="Z114" s="564"/>
      <c r="AA114" s="564"/>
      <c r="AB114" s="564"/>
      <c r="AC114" s="564"/>
      <c r="AD114" s="564"/>
      <c r="AE114" s="564"/>
      <c r="AF114" s="564"/>
      <c r="AG114" s="564"/>
      <c r="AH114" s="564"/>
      <c r="AI114" s="564"/>
      <c r="AJ114" s="564"/>
      <c r="AK114" s="564"/>
      <c r="AL114" s="564"/>
      <c r="AM114" s="564"/>
      <c r="AN114" s="564"/>
    </row>
    <row r="115" spans="1:40">
      <c r="A115" s="564"/>
      <c r="B115" s="564"/>
      <c r="C115" s="564"/>
      <c r="D115" s="564"/>
      <c r="E115" s="564"/>
      <c r="F115" s="564"/>
      <c r="G115" s="564"/>
      <c r="H115" s="564"/>
      <c r="I115" s="564"/>
      <c r="J115" s="564"/>
      <c r="K115" s="564"/>
      <c r="L115" s="564"/>
      <c r="M115" s="564"/>
      <c r="N115" s="564"/>
      <c r="O115" s="564"/>
      <c r="P115" s="564"/>
      <c r="Q115" s="564"/>
      <c r="R115" s="564"/>
      <c r="S115" s="564"/>
      <c r="T115" s="564"/>
      <c r="U115" s="564"/>
      <c r="V115" s="564"/>
      <c r="W115" s="564"/>
      <c r="X115" s="564"/>
      <c r="Y115" s="564"/>
      <c r="Z115" s="564"/>
      <c r="AA115" s="564"/>
      <c r="AB115" s="564"/>
      <c r="AC115" s="564"/>
      <c r="AD115" s="564"/>
      <c r="AE115" s="564"/>
      <c r="AF115" s="564"/>
      <c r="AG115" s="564"/>
      <c r="AH115" s="564"/>
      <c r="AI115" s="564"/>
      <c r="AJ115" s="564"/>
      <c r="AK115" s="564"/>
      <c r="AL115" s="564"/>
      <c r="AM115" s="564"/>
      <c r="AN115" s="564"/>
    </row>
    <row r="116" spans="1:40">
      <c r="A116" s="564"/>
      <c r="B116" s="564"/>
      <c r="C116" s="564"/>
      <c r="D116" s="564"/>
      <c r="E116" s="564"/>
      <c r="F116" s="564"/>
      <c r="G116" s="564"/>
      <c r="H116" s="564"/>
      <c r="I116" s="564"/>
      <c r="J116" s="564"/>
      <c r="K116" s="564"/>
      <c r="L116" s="564"/>
      <c r="M116" s="564"/>
      <c r="N116" s="564"/>
      <c r="O116" s="564"/>
      <c r="P116" s="564"/>
      <c r="Q116" s="564"/>
      <c r="R116" s="564"/>
      <c r="S116" s="564"/>
      <c r="T116" s="564"/>
      <c r="U116" s="564"/>
      <c r="V116" s="564"/>
      <c r="W116" s="564"/>
      <c r="X116" s="564"/>
      <c r="Y116" s="564"/>
      <c r="Z116" s="564"/>
      <c r="AA116" s="564"/>
      <c r="AB116" s="564"/>
      <c r="AC116" s="564"/>
      <c r="AD116" s="564"/>
      <c r="AE116" s="564"/>
      <c r="AF116" s="564"/>
      <c r="AG116" s="564"/>
      <c r="AH116" s="564"/>
      <c r="AI116" s="564"/>
      <c r="AJ116" s="564"/>
      <c r="AK116" s="564"/>
      <c r="AL116" s="564"/>
      <c r="AM116" s="564"/>
      <c r="AN116" s="564"/>
    </row>
  </sheetData>
  <sheetProtection algorithmName="SHA-512" hashValue="vLabPwvbymnJ9BsxJXhG5VRI5ugCeWYapourXeFLPZyKhIX8K+OB1734Azs10E/BR9pvXUkOZuBOiyxiztS68w==" saltValue="dujhiZYPxlJtN93iCy7t/g==" spinCount="100000" sheet="1" scenarios="1" formatCells="0" formatColumns="0" formatRows="0" insertColumns="0" insertRows="0" deleteColumns="0" deleteRows="0" selectLockedCells="1"/>
  <mergeCells count="171">
    <mergeCell ref="L102:O102"/>
    <mergeCell ref="L103:O103"/>
    <mergeCell ref="L104:O104"/>
    <mergeCell ref="D100:I100"/>
    <mergeCell ref="P95:Q95"/>
    <mergeCell ref="I54:J54"/>
    <mergeCell ref="K54:L54"/>
    <mergeCell ref="I56:J56"/>
    <mergeCell ref="M54:N54"/>
    <mergeCell ref="I58:J58"/>
    <mergeCell ref="B106:H106"/>
    <mergeCell ref="A107:AN107"/>
    <mergeCell ref="B108:AN108"/>
    <mergeCell ref="P100:AM100"/>
    <mergeCell ref="P101:AM101"/>
    <mergeCell ref="P102:AM102"/>
    <mergeCell ref="P103:AM103"/>
    <mergeCell ref="P104:AM104"/>
    <mergeCell ref="P71:S71"/>
    <mergeCell ref="P72:S72"/>
    <mergeCell ref="P73:S73"/>
    <mergeCell ref="P74:S74"/>
    <mergeCell ref="U71:V71"/>
    <mergeCell ref="U72:V72"/>
    <mergeCell ref="U73:V73"/>
    <mergeCell ref="U74:V74"/>
    <mergeCell ref="U77:V77"/>
    <mergeCell ref="L100:O100"/>
    <mergeCell ref="L101:O101"/>
    <mergeCell ref="A37:G37"/>
    <mergeCell ref="H37:Q37"/>
    <mergeCell ref="R37:Z37"/>
    <mergeCell ref="AA37:AN37"/>
    <mergeCell ref="Q66:V66"/>
    <mergeCell ref="Q65:V65"/>
    <mergeCell ref="AA41:AN41"/>
    <mergeCell ref="AA44:AN45"/>
    <mergeCell ref="AA48:AN49"/>
    <mergeCell ref="AA50:AN51"/>
    <mergeCell ref="D52:H53"/>
    <mergeCell ref="I52:J52"/>
    <mergeCell ref="K52:L52"/>
    <mergeCell ref="M52:N52"/>
    <mergeCell ref="D44:K45"/>
    <mergeCell ref="A61:AN61"/>
    <mergeCell ref="K58:L58"/>
    <mergeCell ref="M58:N58"/>
    <mergeCell ref="M56:N56"/>
    <mergeCell ref="AA56:AN57"/>
    <mergeCell ref="AA58:AN59"/>
    <mergeCell ref="D54:H55"/>
    <mergeCell ref="D56:H57"/>
    <mergeCell ref="D58:H59"/>
    <mergeCell ref="U26:AN26"/>
    <mergeCell ref="D29:Q29"/>
    <mergeCell ref="D30:Q30"/>
    <mergeCell ref="A32:J32"/>
    <mergeCell ref="K32:Q32"/>
    <mergeCell ref="R32:X32"/>
    <mergeCell ref="Y32:AN32"/>
    <mergeCell ref="V29:AN29"/>
    <mergeCell ref="G36:Q36"/>
    <mergeCell ref="R36:X36"/>
    <mergeCell ref="Y36:AN36"/>
    <mergeCell ref="A2:AH4"/>
    <mergeCell ref="H5:I5"/>
    <mergeCell ref="D7:Q7"/>
    <mergeCell ref="U7:AN7"/>
    <mergeCell ref="Y5:AA5"/>
    <mergeCell ref="AB5:AE5"/>
    <mergeCell ref="AF5:AH5"/>
    <mergeCell ref="AI5:AM5"/>
    <mergeCell ref="A40:AN40"/>
    <mergeCell ref="D8:Q8"/>
    <mergeCell ref="U8:AN8"/>
    <mergeCell ref="D14:Q14"/>
    <mergeCell ref="U14:AN14"/>
    <mergeCell ref="D17:Q17"/>
    <mergeCell ref="U17:AN17"/>
    <mergeCell ref="D20:Q20"/>
    <mergeCell ref="U20:AN20"/>
    <mergeCell ref="A33:H33"/>
    <mergeCell ref="I33:Q33"/>
    <mergeCell ref="R33:X33"/>
    <mergeCell ref="Y33:AN33"/>
    <mergeCell ref="D23:Q23"/>
    <mergeCell ref="U23:AN23"/>
    <mergeCell ref="D26:Q26"/>
    <mergeCell ref="X46:Y46"/>
    <mergeCell ref="X48:Y48"/>
    <mergeCell ref="D42:K43"/>
    <mergeCell ref="D11:Q11"/>
    <mergeCell ref="U11:AN11"/>
    <mergeCell ref="AH34:AJ34"/>
    <mergeCell ref="AK34:AN34"/>
    <mergeCell ref="A35:F35"/>
    <mergeCell ref="G35:Q35"/>
    <mergeCell ref="R35:X35"/>
    <mergeCell ref="Y35:AN35"/>
    <mergeCell ref="A34:F34"/>
    <mergeCell ref="G34:K34"/>
    <mergeCell ref="L34:M34"/>
    <mergeCell ref="N34:Q34"/>
    <mergeCell ref="R34:X34"/>
    <mergeCell ref="Y34:AG34"/>
    <mergeCell ref="A38:F38"/>
    <mergeCell ref="G38:Q38"/>
    <mergeCell ref="R38:X38"/>
    <mergeCell ref="Y38:AN38"/>
    <mergeCell ref="U42:V42"/>
    <mergeCell ref="A36:F36"/>
    <mergeCell ref="P42:S42"/>
    <mergeCell ref="C95:M95"/>
    <mergeCell ref="C97:M97"/>
    <mergeCell ref="C93:M93"/>
    <mergeCell ref="N93:O93"/>
    <mergeCell ref="C72:O72"/>
    <mergeCell ref="C73:O73"/>
    <mergeCell ref="C74:O74"/>
    <mergeCell ref="B77:H77"/>
    <mergeCell ref="I77:J77"/>
    <mergeCell ref="K77:L77"/>
    <mergeCell ref="M77:O77"/>
    <mergeCell ref="I67:K67"/>
    <mergeCell ref="I68:K68"/>
    <mergeCell ref="Q67:V67"/>
    <mergeCell ref="Q68:V68"/>
    <mergeCell ref="B65:H65"/>
    <mergeCell ref="B67:H68"/>
    <mergeCell ref="P97:Q97"/>
    <mergeCell ref="N91:Q91"/>
    <mergeCell ref="C83:M83"/>
    <mergeCell ref="C85:M85"/>
    <mergeCell ref="N80:Q80"/>
    <mergeCell ref="R80:V80"/>
    <mergeCell ref="N83:Q83"/>
    <mergeCell ref="R83:V83"/>
    <mergeCell ref="N85:Q85"/>
    <mergeCell ref="R85:V85"/>
    <mergeCell ref="C91:M91"/>
    <mergeCell ref="N87:Q87"/>
    <mergeCell ref="N89:Q89"/>
    <mergeCell ref="C89:M89"/>
    <mergeCell ref="C87:M87"/>
    <mergeCell ref="C80:M80"/>
    <mergeCell ref="N95:O95"/>
    <mergeCell ref="N97:O97"/>
    <mergeCell ref="P93:AI93"/>
    <mergeCell ref="X65:Z65"/>
    <mergeCell ref="X67:Z67"/>
    <mergeCell ref="X80:AI80"/>
    <mergeCell ref="Q44:S44"/>
    <mergeCell ref="Q46:S46"/>
    <mergeCell ref="Q48:S48"/>
    <mergeCell ref="Q50:S50"/>
    <mergeCell ref="U44:V44"/>
    <mergeCell ref="U46:V46"/>
    <mergeCell ref="U48:V48"/>
    <mergeCell ref="U50:V50"/>
    <mergeCell ref="X50:Y50"/>
    <mergeCell ref="P77:S77"/>
    <mergeCell ref="B62:S62"/>
    <mergeCell ref="I65:K65"/>
    <mergeCell ref="M65:O65"/>
    <mergeCell ref="M66:O66"/>
    <mergeCell ref="B70:S70"/>
    <mergeCell ref="C71:O71"/>
    <mergeCell ref="I66:K66"/>
    <mergeCell ref="E46:N47"/>
    <mergeCell ref="E48:N49"/>
    <mergeCell ref="E50:N51"/>
  </mergeCells>
  <conditionalFormatting sqref="S53">
    <cfRule type="cellIs" dxfId="2" priority="1" stopIfTrue="1" operator="equal">
      <formula>"grün"</formula>
    </cfRule>
  </conditionalFormatting>
  <conditionalFormatting sqref="Y53">
    <cfRule type="cellIs" dxfId="1" priority="2" stopIfTrue="1" operator="equal">
      <formula>"rot"</formula>
    </cfRule>
  </conditionalFormatting>
  <conditionalFormatting sqref="V53">
    <cfRule type="cellIs" dxfId="0" priority="3" stopIfTrue="1" operator="equal">
      <formula>"gelb"</formula>
    </cfRule>
  </conditionalFormatting>
  <dataValidations disablePrompts="1" count="3">
    <dataValidation type="list" allowBlank="1" showInputMessage="1" showErrorMessage="1" sqref="S53">
      <formula1>"grün,offen,"</formula1>
    </dataValidation>
    <dataValidation type="list" allowBlank="1" showInputMessage="1" showErrorMessage="1" sqref="V53">
      <formula1>"gelb,offen,"</formula1>
    </dataValidation>
    <dataValidation type="list" allowBlank="1" showInputMessage="1" showErrorMessage="1" sqref="Y53">
      <formula1>"rot,offen,"</formula1>
    </dataValidation>
  </dataValidations>
  <printOptions horizontalCentered="1"/>
  <pageMargins left="0.6692913385826772" right="0.47244094488188981" top="0.47244094488188981" bottom="0.35433070866141736" header="0.19685039370078741" footer="0.19685039370078741"/>
  <pageSetup paperSize="9" scale="62" orientation="portrait" r:id="rId1"/>
  <headerFooter>
    <oddHeader>&amp;R&amp;G</oddHeader>
    <oddFooter>&amp;LMHG-PU-F-0019&amp;CPPA-Template ; Rev.: 02/2018&amp;RJ.-U. Liedtke / PU-SD-GA</oddFooter>
  </headerFooter>
  <legacyDrawingHF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3">
    <pageSetUpPr fitToPage="1"/>
  </sheetPr>
  <dimension ref="A1:AN187"/>
  <sheetViews>
    <sheetView showGridLines="0" zoomScaleNormal="100" zoomScalePageLayoutView="80" workbookViewId="0">
      <selection activeCell="G55" sqref="G55:L55"/>
    </sheetView>
  </sheetViews>
  <sheetFormatPr baseColWidth="10" defaultColWidth="9.140625" defaultRowHeight="12.75"/>
  <cols>
    <col min="1" max="1" width="0.7109375" style="24" customWidth="1"/>
    <col min="2" max="2" width="3" style="24" customWidth="1"/>
    <col min="3" max="3" width="0.7109375" style="24" customWidth="1"/>
    <col min="4" max="4" width="3" style="24" customWidth="1"/>
    <col min="5" max="5" width="9.7109375" style="24" customWidth="1"/>
    <col min="6" max="6" width="10.7109375" style="24" customWidth="1"/>
    <col min="7" max="7" width="6.7109375" style="24" customWidth="1"/>
    <col min="8" max="9" width="3.42578125" style="24" customWidth="1"/>
    <col min="10" max="10" width="4" style="24" customWidth="1"/>
    <col min="11" max="11" width="5" style="24" customWidth="1"/>
    <col min="12" max="13" width="3.85546875" style="24" customWidth="1"/>
    <col min="14" max="15" width="3.42578125" style="24" customWidth="1"/>
    <col min="16" max="16" width="3.7109375" style="24" customWidth="1"/>
    <col min="17" max="17" width="2.7109375" style="24" customWidth="1"/>
    <col min="18" max="18" width="0.7109375" style="24" customWidth="1"/>
    <col min="19" max="19" width="3" style="24" customWidth="1"/>
    <col min="20" max="20" width="0.7109375" style="24" customWidth="1"/>
    <col min="21" max="21" width="3.7109375" style="24" customWidth="1"/>
    <col min="22" max="22" width="3.42578125" style="24" customWidth="1"/>
    <col min="23" max="23" width="3.85546875" style="24" customWidth="1"/>
    <col min="24" max="25" width="3.42578125" style="24" customWidth="1"/>
    <col min="26" max="26" width="3.7109375" style="24" customWidth="1"/>
    <col min="27" max="31" width="3.42578125" style="24" customWidth="1"/>
    <col min="32" max="32" width="2.42578125" style="24" customWidth="1"/>
    <col min="33" max="37" width="3.42578125" style="24" customWidth="1"/>
    <col min="38" max="39" width="1.42578125" style="24" customWidth="1"/>
    <col min="40" max="40" width="3.42578125" style="24" customWidth="1"/>
    <col min="41" max="16384" width="9.140625" style="24"/>
  </cols>
  <sheetData>
    <row r="1" spans="1:40" ht="9" customHeight="1"/>
    <row r="2" spans="1:40" ht="12.75" customHeight="1">
      <c r="A2" s="912" t="str">
        <f>VLOOKUP("prozessbezogene und sonstige dokumente",Translations!$A:$T,MATCH(Cover!DR19,Translations!A2:P2,0),0)</f>
        <v>Process-related and other documents</v>
      </c>
      <c r="B2" s="912"/>
      <c r="C2" s="912"/>
      <c r="D2" s="912"/>
      <c r="E2" s="912"/>
      <c r="F2" s="912"/>
      <c r="G2" s="912"/>
      <c r="H2" s="912"/>
      <c r="I2" s="912"/>
      <c r="J2" s="912"/>
      <c r="K2" s="912"/>
      <c r="L2" s="912"/>
      <c r="M2" s="912"/>
      <c r="N2" s="912"/>
      <c r="O2" s="912"/>
      <c r="P2" s="912"/>
      <c r="Q2" s="912"/>
      <c r="R2" s="912"/>
      <c r="S2" s="912"/>
      <c r="T2" s="912"/>
      <c r="U2" s="912"/>
      <c r="V2" s="912"/>
      <c r="W2" s="912"/>
      <c r="X2" s="912"/>
      <c r="Y2" s="912"/>
      <c r="Z2" s="912"/>
      <c r="AA2" s="912"/>
      <c r="AB2" s="912"/>
      <c r="AC2" s="912"/>
      <c r="AD2" s="912"/>
      <c r="AE2" s="912"/>
      <c r="AF2" s="912"/>
      <c r="AG2" s="912"/>
      <c r="AH2" s="912"/>
    </row>
    <row r="3" spans="1:40" ht="12.75" customHeight="1">
      <c r="A3" s="912"/>
      <c r="B3" s="912"/>
      <c r="C3" s="912"/>
      <c r="D3" s="912"/>
      <c r="E3" s="912"/>
      <c r="F3" s="912"/>
      <c r="G3" s="912"/>
      <c r="H3" s="912"/>
      <c r="I3" s="912"/>
      <c r="J3" s="912"/>
      <c r="K3" s="912"/>
      <c r="L3" s="912"/>
      <c r="M3" s="912"/>
      <c r="N3" s="912"/>
      <c r="O3" s="912"/>
      <c r="P3" s="912"/>
      <c r="Q3" s="912"/>
      <c r="R3" s="912"/>
      <c r="S3" s="912"/>
      <c r="T3" s="912"/>
      <c r="U3" s="912"/>
      <c r="V3" s="912"/>
      <c r="W3" s="912"/>
      <c r="X3" s="912"/>
      <c r="Y3" s="912"/>
      <c r="Z3" s="912"/>
      <c r="AA3" s="912"/>
      <c r="AB3" s="912"/>
      <c r="AC3" s="912"/>
      <c r="AD3" s="912"/>
      <c r="AE3" s="912"/>
      <c r="AF3" s="912"/>
      <c r="AG3" s="912"/>
      <c r="AH3" s="912"/>
    </row>
    <row r="4" spans="1:40" ht="10.5" customHeight="1">
      <c r="A4" s="912"/>
      <c r="B4" s="912"/>
      <c r="C4" s="912"/>
      <c r="D4" s="912"/>
      <c r="E4" s="912"/>
      <c r="F4" s="912"/>
      <c r="G4" s="912"/>
      <c r="H4" s="912"/>
      <c r="I4" s="912"/>
      <c r="J4" s="912"/>
      <c r="K4" s="912"/>
      <c r="L4" s="912"/>
      <c r="M4" s="912"/>
      <c r="N4" s="912"/>
      <c r="O4" s="912"/>
      <c r="P4" s="912"/>
      <c r="Q4" s="912"/>
      <c r="R4" s="912"/>
      <c r="S4" s="912"/>
      <c r="T4" s="912"/>
      <c r="U4" s="912"/>
      <c r="V4" s="912"/>
      <c r="W4" s="912"/>
      <c r="X4" s="912"/>
      <c r="Y4" s="912"/>
      <c r="Z4" s="912"/>
      <c r="AA4" s="912"/>
      <c r="AB4" s="912"/>
      <c r="AC4" s="912"/>
      <c r="AD4" s="912"/>
      <c r="AE4" s="912"/>
      <c r="AF4" s="912"/>
      <c r="AG4" s="912"/>
      <c r="AH4" s="912"/>
    </row>
    <row r="5" spans="1:40" ht="15" customHeight="1">
      <c r="E5" s="612" t="str">
        <f>VLOOKUP("blatt",Translations!$A:$T,MATCH(Cover!DR19,Translations!A2:P2,0),0)</f>
        <v>Page</v>
      </c>
      <c r="F5" s="253"/>
      <c r="G5" s="612" t="str">
        <f>VLOOKUP("vonvv",Translations!$A:$T,MATCH(Cover!DR19,Translations!A2:P2,0),0)</f>
        <v>of</v>
      </c>
      <c r="H5" s="1151"/>
      <c r="I5" s="1151"/>
      <c r="J5" s="1151"/>
      <c r="Y5" s="1186" t="str">
        <f>VLOOKUP("standyy",Translations!$A:$T,MATCH(Cover!DR19,Translations!A2:P2,0),0)</f>
        <v>Status:</v>
      </c>
      <c r="Z5" s="1186"/>
      <c r="AA5" s="1186"/>
      <c r="AB5" s="1151"/>
      <c r="AC5" s="1151"/>
      <c r="AD5" s="1151"/>
      <c r="AE5" s="1151"/>
      <c r="AF5" s="1186" t="str">
        <f>VLOOKUP("ydatumf",Translations!$A:$T,MATCH(Cover!DR19,Translations!A2:P2,0),0)</f>
        <v>/ Date:</v>
      </c>
      <c r="AG5" s="1186"/>
      <c r="AH5" s="1186"/>
      <c r="AI5" s="1150"/>
      <c r="AJ5" s="1151"/>
      <c r="AK5" s="1151"/>
      <c r="AL5" s="1151"/>
      <c r="AM5" s="1151"/>
    </row>
    <row r="6" spans="1:40" ht="4.5" customHeight="1" thickBot="1">
      <c r="A6" s="113"/>
      <c r="B6" s="113"/>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3"/>
      <c r="AL6" s="113"/>
      <c r="AM6" s="113"/>
      <c r="AN6" s="113"/>
    </row>
    <row r="7" spans="1:40" ht="3" customHeight="1">
      <c r="A7" s="279"/>
      <c r="B7" s="280"/>
      <c r="C7" s="280"/>
      <c r="D7" s="1148"/>
      <c r="E7" s="1148"/>
      <c r="F7" s="1148"/>
      <c r="G7" s="1148"/>
      <c r="H7" s="1148"/>
      <c r="I7" s="1148"/>
      <c r="J7" s="1148"/>
      <c r="K7" s="1148"/>
      <c r="L7" s="1148"/>
      <c r="M7" s="1148"/>
      <c r="N7" s="1148"/>
      <c r="O7" s="1148"/>
      <c r="P7" s="1148"/>
      <c r="Q7" s="1149"/>
      <c r="R7" s="279"/>
      <c r="S7" s="280"/>
      <c r="T7" s="280"/>
      <c r="U7" s="1148"/>
      <c r="V7" s="1148"/>
      <c r="W7" s="1148"/>
      <c r="X7" s="1148"/>
      <c r="Y7" s="1148"/>
      <c r="Z7" s="1148"/>
      <c r="AA7" s="1148"/>
      <c r="AB7" s="1148"/>
      <c r="AC7" s="1148"/>
      <c r="AD7" s="1148"/>
      <c r="AE7" s="1148"/>
      <c r="AF7" s="1148"/>
      <c r="AG7" s="1148"/>
      <c r="AH7" s="1148"/>
      <c r="AI7" s="1148"/>
      <c r="AJ7" s="1148"/>
      <c r="AK7" s="1148"/>
      <c r="AL7" s="1148"/>
      <c r="AM7" s="1148"/>
      <c r="AN7" s="1149"/>
    </row>
    <row r="8" spans="1:40" ht="15.75" customHeight="1">
      <c r="A8" s="281"/>
      <c r="B8" s="425"/>
      <c r="C8" s="282"/>
      <c r="D8" s="1146" t="str">
        <f>Cover!AB23</f>
        <v>8 Software test report</v>
      </c>
      <c r="E8" s="1146"/>
      <c r="F8" s="1146"/>
      <c r="G8" s="1146"/>
      <c r="H8" s="1146"/>
      <c r="I8" s="1146"/>
      <c r="J8" s="1146"/>
      <c r="K8" s="1146"/>
      <c r="L8" s="1146"/>
      <c r="M8" s="1146"/>
      <c r="N8" s="1146"/>
      <c r="O8" s="1146"/>
      <c r="P8" s="1146"/>
      <c r="Q8" s="1147"/>
      <c r="R8" s="281"/>
      <c r="S8" s="425"/>
      <c r="T8" s="282"/>
      <c r="U8" s="1146" t="str">
        <f>Cover!BU23</f>
        <v>16 Tooling list</v>
      </c>
      <c r="V8" s="1146"/>
      <c r="W8" s="1146"/>
      <c r="X8" s="1146"/>
      <c r="Y8" s="1146"/>
      <c r="Z8" s="1146"/>
      <c r="AA8" s="1146"/>
      <c r="AB8" s="1146"/>
      <c r="AC8" s="1146"/>
      <c r="AD8" s="1146"/>
      <c r="AE8" s="1146"/>
      <c r="AF8" s="1146"/>
      <c r="AG8" s="1146"/>
      <c r="AH8" s="1146"/>
      <c r="AI8" s="1146"/>
      <c r="AJ8" s="1146"/>
      <c r="AK8" s="1146"/>
      <c r="AL8" s="1146"/>
      <c r="AM8" s="1146"/>
      <c r="AN8" s="1147"/>
    </row>
    <row r="9" spans="1:40" ht="3" customHeight="1">
      <c r="A9" s="281"/>
      <c r="B9" s="282"/>
      <c r="C9" s="282"/>
      <c r="D9" s="407"/>
      <c r="E9" s="407"/>
      <c r="F9" s="407"/>
      <c r="G9" s="407"/>
      <c r="H9" s="407"/>
      <c r="I9" s="407"/>
      <c r="J9" s="407"/>
      <c r="K9" s="407"/>
      <c r="L9" s="407"/>
      <c r="M9" s="407"/>
      <c r="N9" s="407"/>
      <c r="O9" s="407"/>
      <c r="P9" s="407"/>
      <c r="Q9" s="408"/>
      <c r="R9" s="281"/>
      <c r="S9" s="282"/>
      <c r="T9" s="282"/>
      <c r="U9" s="407"/>
      <c r="V9" s="407"/>
      <c r="W9" s="407"/>
      <c r="X9" s="407"/>
      <c r="Y9" s="407"/>
      <c r="Z9" s="407"/>
      <c r="AA9" s="407"/>
      <c r="AB9" s="407"/>
      <c r="AC9" s="407"/>
      <c r="AD9" s="407"/>
      <c r="AE9" s="407"/>
      <c r="AF9" s="407"/>
      <c r="AG9" s="407"/>
      <c r="AH9" s="407"/>
      <c r="AI9" s="407"/>
      <c r="AJ9" s="407"/>
      <c r="AK9" s="407"/>
      <c r="AL9" s="407"/>
      <c r="AM9" s="407"/>
      <c r="AN9" s="408"/>
    </row>
    <row r="10" spans="1:40" ht="3" customHeight="1">
      <c r="A10" s="281"/>
      <c r="B10" s="282"/>
      <c r="C10" s="282"/>
      <c r="D10" s="407"/>
      <c r="E10" s="407"/>
      <c r="F10" s="407"/>
      <c r="G10" s="407"/>
      <c r="H10" s="407"/>
      <c r="I10" s="407"/>
      <c r="J10" s="407"/>
      <c r="K10" s="407"/>
      <c r="L10" s="407"/>
      <c r="M10" s="407"/>
      <c r="N10" s="407"/>
      <c r="O10" s="407"/>
      <c r="P10" s="407"/>
      <c r="Q10" s="408"/>
      <c r="R10" s="281"/>
      <c r="S10" s="282"/>
      <c r="T10" s="282"/>
      <c r="U10" s="407"/>
      <c r="V10" s="407"/>
      <c r="W10" s="407"/>
      <c r="X10" s="407"/>
      <c r="Y10" s="407"/>
      <c r="Z10" s="407"/>
      <c r="AA10" s="407"/>
      <c r="AB10" s="407"/>
      <c r="AC10" s="407"/>
      <c r="AD10" s="407"/>
      <c r="AE10" s="407"/>
      <c r="AF10" s="407"/>
      <c r="AG10" s="407"/>
      <c r="AH10" s="407"/>
      <c r="AI10" s="407"/>
      <c r="AJ10" s="407"/>
      <c r="AK10" s="407"/>
      <c r="AL10" s="407"/>
      <c r="AM10" s="407"/>
      <c r="AN10" s="408"/>
    </row>
    <row r="11" spans="1:40" ht="15.75" customHeight="1">
      <c r="A11" s="281"/>
      <c r="B11" s="425"/>
      <c r="C11" s="282"/>
      <c r="D11" s="1146" t="str">
        <f>Cover!AB25</f>
        <v>9 Process – FMEA</v>
      </c>
      <c r="E11" s="1146"/>
      <c r="F11" s="1146"/>
      <c r="G11" s="1146"/>
      <c r="H11" s="1146"/>
      <c r="I11" s="1146"/>
      <c r="J11" s="1146"/>
      <c r="K11" s="1146"/>
      <c r="L11" s="1146"/>
      <c r="M11" s="1146"/>
      <c r="N11" s="1146"/>
      <c r="O11" s="1146"/>
      <c r="P11" s="1146"/>
      <c r="Q11" s="1147"/>
      <c r="R11" s="281"/>
      <c r="S11" s="425"/>
      <c r="T11" s="282"/>
      <c r="U11" s="1146" t="str">
        <f>Cover!BU25</f>
        <v>17 Confirmation of agreed capacity</v>
      </c>
      <c r="V11" s="1146"/>
      <c r="W11" s="1146"/>
      <c r="X11" s="1146"/>
      <c r="Y11" s="1146"/>
      <c r="Z11" s="1146"/>
      <c r="AA11" s="1146"/>
      <c r="AB11" s="1146"/>
      <c r="AC11" s="1146"/>
      <c r="AD11" s="1146"/>
      <c r="AE11" s="1146"/>
      <c r="AF11" s="1146"/>
      <c r="AG11" s="1146"/>
      <c r="AH11" s="1146"/>
      <c r="AI11" s="1146"/>
      <c r="AJ11" s="1146"/>
      <c r="AK11" s="1146"/>
      <c r="AL11" s="1146"/>
      <c r="AM11" s="1146"/>
      <c r="AN11" s="1147"/>
    </row>
    <row r="12" spans="1:40" ht="3" customHeight="1">
      <c r="A12" s="281"/>
      <c r="B12" s="282"/>
      <c r="C12" s="282"/>
      <c r="D12" s="407"/>
      <c r="E12" s="407"/>
      <c r="F12" s="407"/>
      <c r="G12" s="407"/>
      <c r="H12" s="407"/>
      <c r="I12" s="407"/>
      <c r="J12" s="407"/>
      <c r="K12" s="407"/>
      <c r="L12" s="407"/>
      <c r="M12" s="407"/>
      <c r="N12" s="407"/>
      <c r="O12" s="407"/>
      <c r="P12" s="407"/>
      <c r="Q12" s="408"/>
      <c r="R12" s="281"/>
      <c r="S12" s="282"/>
      <c r="T12" s="282"/>
      <c r="U12" s="407"/>
      <c r="V12" s="407"/>
      <c r="W12" s="407"/>
      <c r="X12" s="407"/>
      <c r="Y12" s="407"/>
      <c r="Z12" s="407"/>
      <c r="AA12" s="407"/>
      <c r="AB12" s="407"/>
      <c r="AC12" s="407"/>
      <c r="AD12" s="407"/>
      <c r="AE12" s="407"/>
      <c r="AF12" s="407"/>
      <c r="AG12" s="407"/>
      <c r="AH12" s="407"/>
      <c r="AI12" s="407"/>
      <c r="AJ12" s="407"/>
      <c r="AK12" s="407"/>
      <c r="AL12" s="407"/>
      <c r="AM12" s="407"/>
      <c r="AN12" s="408"/>
    </row>
    <row r="13" spans="1:40" ht="3" customHeight="1">
      <c r="A13" s="281"/>
      <c r="B13" s="282"/>
      <c r="C13" s="282"/>
      <c r="D13" s="407"/>
      <c r="E13" s="407"/>
      <c r="F13" s="407"/>
      <c r="G13" s="407"/>
      <c r="H13" s="407"/>
      <c r="I13" s="407"/>
      <c r="J13" s="407"/>
      <c r="K13" s="407"/>
      <c r="L13" s="407"/>
      <c r="M13" s="407"/>
      <c r="N13" s="407"/>
      <c r="O13" s="407"/>
      <c r="P13" s="407"/>
      <c r="Q13" s="408"/>
      <c r="R13" s="281"/>
      <c r="S13" s="282"/>
      <c r="T13" s="282"/>
      <c r="U13" s="407"/>
      <c r="V13" s="407"/>
      <c r="W13" s="407"/>
      <c r="X13" s="407"/>
      <c r="Y13" s="407"/>
      <c r="Z13" s="407"/>
      <c r="AA13" s="407"/>
      <c r="AB13" s="407"/>
      <c r="AC13" s="407"/>
      <c r="AD13" s="407"/>
      <c r="AE13" s="407"/>
      <c r="AF13" s="407"/>
      <c r="AG13" s="407"/>
      <c r="AH13" s="407"/>
      <c r="AI13" s="407"/>
      <c r="AJ13" s="407"/>
      <c r="AK13" s="407"/>
      <c r="AL13" s="407"/>
      <c r="AM13" s="407"/>
      <c r="AN13" s="408"/>
    </row>
    <row r="14" spans="1:40" ht="15.75" customHeight="1">
      <c r="A14" s="281"/>
      <c r="B14" s="425"/>
      <c r="C14" s="282"/>
      <c r="D14" s="1146" t="str">
        <f>Cover!AB27</f>
        <v>10 Process flow chart</v>
      </c>
      <c r="E14" s="1146"/>
      <c r="F14" s="1146"/>
      <c r="G14" s="1146"/>
      <c r="H14" s="1146"/>
      <c r="I14" s="1146"/>
      <c r="J14" s="1146"/>
      <c r="K14" s="1146"/>
      <c r="L14" s="1146"/>
      <c r="M14" s="1146"/>
      <c r="N14" s="1146"/>
      <c r="O14" s="1146"/>
      <c r="P14" s="1146"/>
      <c r="Q14" s="1147"/>
      <c r="R14" s="281"/>
      <c r="S14" s="425" t="s">
        <v>653</v>
      </c>
      <c r="T14" s="282"/>
      <c r="U14" s="1146" t="str">
        <f>Cover!BU27</f>
        <v>18 Written self-assessment</v>
      </c>
      <c r="V14" s="1146"/>
      <c r="W14" s="1146"/>
      <c r="X14" s="1146"/>
      <c r="Y14" s="1146"/>
      <c r="Z14" s="1146"/>
      <c r="AA14" s="1146"/>
      <c r="AB14" s="1146"/>
      <c r="AC14" s="1146"/>
      <c r="AD14" s="1146"/>
      <c r="AE14" s="1146"/>
      <c r="AF14" s="1146"/>
      <c r="AG14" s="1146"/>
      <c r="AH14" s="1146"/>
      <c r="AI14" s="1146"/>
      <c r="AJ14" s="1146"/>
      <c r="AK14" s="1146"/>
      <c r="AL14" s="1146"/>
      <c r="AM14" s="1146"/>
      <c r="AN14" s="1147"/>
    </row>
    <row r="15" spans="1:40" ht="3" customHeight="1">
      <c r="A15" s="281"/>
      <c r="B15" s="282"/>
      <c r="C15" s="282"/>
      <c r="D15" s="407"/>
      <c r="E15" s="407"/>
      <c r="F15" s="407"/>
      <c r="G15" s="407"/>
      <c r="H15" s="407"/>
      <c r="I15" s="407"/>
      <c r="J15" s="407"/>
      <c r="K15" s="407"/>
      <c r="L15" s="407"/>
      <c r="M15" s="407"/>
      <c r="N15" s="407"/>
      <c r="O15" s="407"/>
      <c r="P15" s="407"/>
      <c r="Q15" s="408"/>
      <c r="R15" s="281"/>
      <c r="S15" s="282"/>
      <c r="T15" s="282"/>
      <c r="U15" s="407"/>
      <c r="V15" s="407"/>
      <c r="W15" s="407"/>
      <c r="X15" s="407"/>
      <c r="Y15" s="407"/>
      <c r="Z15" s="407"/>
      <c r="AA15" s="407"/>
      <c r="AB15" s="407"/>
      <c r="AC15" s="407"/>
      <c r="AD15" s="407"/>
      <c r="AE15" s="407"/>
      <c r="AF15" s="407"/>
      <c r="AG15" s="407"/>
      <c r="AH15" s="407"/>
      <c r="AI15" s="407"/>
      <c r="AJ15" s="407"/>
      <c r="AK15" s="407"/>
      <c r="AL15" s="407"/>
      <c r="AM15" s="407"/>
      <c r="AN15" s="408"/>
    </row>
    <row r="16" spans="1:40" ht="3" customHeight="1">
      <c r="A16" s="281"/>
      <c r="B16" s="282"/>
      <c r="C16" s="282"/>
      <c r="D16" s="407"/>
      <c r="E16" s="407"/>
      <c r="F16" s="407"/>
      <c r="G16" s="407"/>
      <c r="H16" s="407"/>
      <c r="I16" s="407"/>
      <c r="J16" s="407"/>
      <c r="K16" s="407"/>
      <c r="L16" s="407"/>
      <c r="M16" s="407"/>
      <c r="N16" s="407"/>
      <c r="O16" s="407"/>
      <c r="P16" s="407"/>
      <c r="Q16" s="408"/>
      <c r="R16" s="281"/>
      <c r="S16" s="282"/>
      <c r="T16" s="282"/>
      <c r="U16" s="407"/>
      <c r="V16" s="407"/>
      <c r="W16" s="407"/>
      <c r="X16" s="407"/>
      <c r="Y16" s="407"/>
      <c r="Z16" s="407"/>
      <c r="AA16" s="407"/>
      <c r="AB16" s="407"/>
      <c r="AC16" s="407"/>
      <c r="AD16" s="407"/>
      <c r="AE16" s="407"/>
      <c r="AF16" s="407"/>
      <c r="AG16" s="407"/>
      <c r="AH16" s="407"/>
      <c r="AI16" s="407"/>
      <c r="AJ16" s="407"/>
      <c r="AK16" s="407"/>
      <c r="AL16" s="407"/>
      <c r="AM16" s="407"/>
      <c r="AN16" s="408"/>
    </row>
    <row r="17" spans="1:40" ht="15.75" customHeight="1">
      <c r="A17" s="281"/>
      <c r="B17" s="425"/>
      <c r="C17" s="282"/>
      <c r="D17" s="1146" t="str">
        <f>Cover!AB29</f>
        <v>11 Control plan</v>
      </c>
      <c r="E17" s="1146"/>
      <c r="F17" s="1146"/>
      <c r="G17" s="1146"/>
      <c r="H17" s="1146"/>
      <c r="I17" s="1146"/>
      <c r="J17" s="1146"/>
      <c r="K17" s="1146"/>
      <c r="L17" s="1146"/>
      <c r="M17" s="1146"/>
      <c r="N17" s="1146"/>
      <c r="O17" s="1146"/>
      <c r="P17" s="1146"/>
      <c r="Q17" s="1147"/>
      <c r="R17" s="281"/>
      <c r="S17" s="425"/>
      <c r="T17" s="282"/>
      <c r="U17" s="1146" t="str">
        <f>Cover!BU29</f>
        <v>19 Part history</v>
      </c>
      <c r="V17" s="1146"/>
      <c r="W17" s="1146"/>
      <c r="X17" s="1146"/>
      <c r="Y17" s="1146"/>
      <c r="Z17" s="1146"/>
      <c r="AA17" s="1146"/>
      <c r="AB17" s="1146"/>
      <c r="AC17" s="1146"/>
      <c r="AD17" s="1146"/>
      <c r="AE17" s="1146"/>
      <c r="AF17" s="1146"/>
      <c r="AG17" s="1146"/>
      <c r="AH17" s="1146"/>
      <c r="AI17" s="1146"/>
      <c r="AJ17" s="1146"/>
      <c r="AK17" s="1146"/>
      <c r="AL17" s="1146"/>
      <c r="AM17" s="1146"/>
      <c r="AN17" s="1147"/>
    </row>
    <row r="18" spans="1:40" ht="3" customHeight="1">
      <c r="A18" s="281"/>
      <c r="B18" s="282"/>
      <c r="C18" s="282"/>
      <c r="D18" s="407"/>
      <c r="E18" s="407"/>
      <c r="F18" s="407"/>
      <c r="G18" s="407"/>
      <c r="H18" s="407"/>
      <c r="I18" s="407"/>
      <c r="J18" s="407"/>
      <c r="K18" s="407"/>
      <c r="L18" s="407"/>
      <c r="M18" s="407"/>
      <c r="N18" s="407"/>
      <c r="O18" s="407"/>
      <c r="P18" s="407"/>
      <c r="Q18" s="408"/>
      <c r="R18" s="281"/>
      <c r="S18" s="282"/>
      <c r="T18" s="282"/>
      <c r="U18" s="407"/>
      <c r="V18" s="407"/>
      <c r="W18" s="407"/>
      <c r="X18" s="407"/>
      <c r="Y18" s="407"/>
      <c r="Z18" s="407"/>
      <c r="AA18" s="407"/>
      <c r="AB18" s="407"/>
      <c r="AC18" s="407"/>
      <c r="AD18" s="407"/>
      <c r="AE18" s="407"/>
      <c r="AF18" s="407"/>
      <c r="AG18" s="407"/>
      <c r="AH18" s="407"/>
      <c r="AI18" s="407"/>
      <c r="AJ18" s="407"/>
      <c r="AK18" s="407"/>
      <c r="AL18" s="407"/>
      <c r="AM18" s="407"/>
      <c r="AN18" s="408"/>
    </row>
    <row r="19" spans="1:40" ht="3" customHeight="1">
      <c r="A19" s="281"/>
      <c r="B19" s="282"/>
      <c r="C19" s="282"/>
      <c r="D19" s="407"/>
      <c r="E19" s="407"/>
      <c r="F19" s="407"/>
      <c r="G19" s="407"/>
      <c r="H19" s="407"/>
      <c r="I19" s="407"/>
      <c r="J19" s="407"/>
      <c r="K19" s="407"/>
      <c r="L19" s="407"/>
      <c r="M19" s="407"/>
      <c r="N19" s="407"/>
      <c r="O19" s="407"/>
      <c r="P19" s="407"/>
      <c r="Q19" s="408"/>
      <c r="R19" s="281"/>
      <c r="S19" s="282"/>
      <c r="T19" s="282"/>
      <c r="U19" s="407"/>
      <c r="V19" s="407"/>
      <c r="W19" s="407"/>
      <c r="X19" s="407"/>
      <c r="Y19" s="407"/>
      <c r="Z19" s="407"/>
      <c r="AA19" s="407"/>
      <c r="AB19" s="407"/>
      <c r="AC19" s="407"/>
      <c r="AD19" s="407"/>
      <c r="AE19" s="407"/>
      <c r="AF19" s="407"/>
      <c r="AG19" s="407"/>
      <c r="AH19" s="407"/>
      <c r="AI19" s="407"/>
      <c r="AJ19" s="407"/>
      <c r="AK19" s="407"/>
      <c r="AL19" s="407"/>
      <c r="AM19" s="407"/>
      <c r="AN19" s="408"/>
    </row>
    <row r="20" spans="1:40" ht="15.75" customHeight="1">
      <c r="A20" s="281"/>
      <c r="B20" s="425"/>
      <c r="C20" s="282"/>
      <c r="D20" s="1146" t="str">
        <f>Cover!AB31</f>
        <v>12 Confirmation of process capability</v>
      </c>
      <c r="E20" s="1146"/>
      <c r="F20" s="1146"/>
      <c r="G20" s="1146"/>
      <c r="H20" s="1146"/>
      <c r="I20" s="1146"/>
      <c r="J20" s="1146"/>
      <c r="K20" s="1146"/>
      <c r="L20" s="1146"/>
      <c r="M20" s="1146"/>
      <c r="N20" s="1146"/>
      <c r="O20" s="1146"/>
      <c r="P20" s="1146"/>
      <c r="Q20" s="1147"/>
      <c r="R20" s="281"/>
      <c r="S20" s="425"/>
      <c r="T20" s="282"/>
      <c r="U20" s="1146" t="str">
        <f>Cover!BU31</f>
        <v>20 Confirmation of suitability of transport equipment</v>
      </c>
      <c r="V20" s="1146"/>
      <c r="W20" s="1146"/>
      <c r="X20" s="1146"/>
      <c r="Y20" s="1146"/>
      <c r="Z20" s="1146"/>
      <c r="AA20" s="1146"/>
      <c r="AB20" s="1146"/>
      <c r="AC20" s="1146"/>
      <c r="AD20" s="1146"/>
      <c r="AE20" s="1146"/>
      <c r="AF20" s="1146"/>
      <c r="AG20" s="1146"/>
      <c r="AH20" s="1146"/>
      <c r="AI20" s="1146"/>
      <c r="AJ20" s="1146"/>
      <c r="AK20" s="1146"/>
      <c r="AL20" s="1146"/>
      <c r="AM20" s="1146"/>
      <c r="AN20" s="1147"/>
    </row>
    <row r="21" spans="1:40" ht="3" customHeight="1">
      <c r="A21" s="281"/>
      <c r="B21" s="282"/>
      <c r="C21" s="282"/>
      <c r="D21" s="407"/>
      <c r="E21" s="407"/>
      <c r="F21" s="407"/>
      <c r="G21" s="407"/>
      <c r="H21" s="407"/>
      <c r="I21" s="407"/>
      <c r="J21" s="407"/>
      <c r="K21" s="407"/>
      <c r="L21" s="407"/>
      <c r="M21" s="407"/>
      <c r="N21" s="407"/>
      <c r="O21" s="407"/>
      <c r="P21" s="407"/>
      <c r="Q21" s="408"/>
      <c r="R21" s="281"/>
      <c r="S21" s="282"/>
      <c r="T21" s="282"/>
      <c r="U21" s="407"/>
      <c r="V21" s="407"/>
      <c r="W21" s="407"/>
      <c r="X21" s="407"/>
      <c r="Y21" s="407"/>
      <c r="Z21" s="407"/>
      <c r="AA21" s="407"/>
      <c r="AB21" s="407"/>
      <c r="AC21" s="407"/>
      <c r="AD21" s="407"/>
      <c r="AE21" s="407"/>
      <c r="AF21" s="407"/>
      <c r="AG21" s="407"/>
      <c r="AH21" s="407"/>
      <c r="AI21" s="407"/>
      <c r="AJ21" s="407"/>
      <c r="AK21" s="407"/>
      <c r="AL21" s="407"/>
      <c r="AM21" s="407"/>
      <c r="AN21" s="408"/>
    </row>
    <row r="22" spans="1:40" ht="3" customHeight="1">
      <c r="A22" s="281"/>
      <c r="B22" s="282"/>
      <c r="C22" s="282"/>
      <c r="D22" s="407"/>
      <c r="E22" s="407"/>
      <c r="F22" s="407"/>
      <c r="G22" s="407"/>
      <c r="H22" s="407"/>
      <c r="I22" s="407"/>
      <c r="J22" s="407"/>
      <c r="K22" s="407"/>
      <c r="L22" s="407"/>
      <c r="M22" s="407"/>
      <c r="N22" s="407"/>
      <c r="O22" s="407"/>
      <c r="P22" s="407"/>
      <c r="Q22" s="408"/>
      <c r="R22" s="281"/>
      <c r="S22" s="282"/>
      <c r="T22" s="282"/>
      <c r="U22" s="407"/>
      <c r="V22" s="407"/>
      <c r="W22" s="407"/>
      <c r="X22" s="407"/>
      <c r="Y22" s="407"/>
      <c r="Z22" s="407"/>
      <c r="AA22" s="407"/>
      <c r="AB22" s="407"/>
      <c r="AC22" s="407"/>
      <c r="AD22" s="407"/>
      <c r="AE22" s="407"/>
      <c r="AF22" s="407"/>
      <c r="AG22" s="407"/>
      <c r="AH22" s="407"/>
      <c r="AI22" s="407"/>
      <c r="AJ22" s="407"/>
      <c r="AK22" s="407"/>
      <c r="AL22" s="407"/>
      <c r="AM22" s="407"/>
      <c r="AN22" s="408"/>
    </row>
    <row r="23" spans="1:40" ht="15.75" customHeight="1">
      <c r="A23" s="281"/>
      <c r="B23" s="425"/>
      <c r="C23" s="282"/>
      <c r="D23" s="1146" t="str">
        <f>Cover!AB33</f>
        <v>13 Achievement of special characteristics</v>
      </c>
      <c r="E23" s="1146"/>
      <c r="F23" s="1146"/>
      <c r="G23" s="1146"/>
      <c r="H23" s="1146"/>
      <c r="I23" s="1146"/>
      <c r="J23" s="1146"/>
      <c r="K23" s="1146"/>
      <c r="L23" s="1146"/>
      <c r="M23" s="1146"/>
      <c r="N23" s="1146"/>
      <c r="O23" s="1146"/>
      <c r="P23" s="1146"/>
      <c r="Q23" s="1147"/>
      <c r="R23" s="281"/>
      <c r="S23" s="425"/>
      <c r="T23" s="282"/>
      <c r="U23" s="1146" t="str">
        <f>Cover!BU33</f>
        <v>21 PPA-Status of the supply chain</v>
      </c>
      <c r="V23" s="1146"/>
      <c r="W23" s="1146"/>
      <c r="X23" s="1146"/>
      <c r="Y23" s="1146"/>
      <c r="Z23" s="1146"/>
      <c r="AA23" s="1146"/>
      <c r="AB23" s="1146"/>
      <c r="AC23" s="1146"/>
      <c r="AD23" s="1146"/>
      <c r="AE23" s="1146"/>
      <c r="AF23" s="1146"/>
      <c r="AG23" s="1146"/>
      <c r="AH23" s="1146"/>
      <c r="AI23" s="1146"/>
      <c r="AJ23" s="1146"/>
      <c r="AK23" s="1146"/>
      <c r="AL23" s="1146"/>
      <c r="AM23" s="1146"/>
      <c r="AN23" s="1147"/>
    </row>
    <row r="24" spans="1:40" ht="3" customHeight="1">
      <c r="A24" s="281"/>
      <c r="B24" s="282"/>
      <c r="C24" s="282"/>
      <c r="D24" s="407"/>
      <c r="E24" s="407"/>
      <c r="F24" s="407"/>
      <c r="G24" s="407"/>
      <c r="H24" s="407"/>
      <c r="I24" s="407"/>
      <c r="J24" s="407"/>
      <c r="K24" s="407"/>
      <c r="L24" s="407"/>
      <c r="M24" s="407"/>
      <c r="N24" s="407"/>
      <c r="O24" s="407"/>
      <c r="P24" s="407"/>
      <c r="Q24" s="408"/>
      <c r="R24" s="281"/>
      <c r="S24" s="282"/>
      <c r="T24" s="282"/>
      <c r="U24" s="407"/>
      <c r="V24" s="407"/>
      <c r="W24" s="407"/>
      <c r="X24" s="407"/>
      <c r="Y24" s="407"/>
      <c r="Z24" s="407"/>
      <c r="AA24" s="407"/>
      <c r="AB24" s="407"/>
      <c r="AC24" s="407"/>
      <c r="AD24" s="407"/>
      <c r="AE24" s="407"/>
      <c r="AF24" s="407"/>
      <c r="AG24" s="407"/>
      <c r="AH24" s="407"/>
      <c r="AI24" s="407"/>
      <c r="AJ24" s="407"/>
      <c r="AK24" s="407"/>
      <c r="AL24" s="407"/>
      <c r="AM24" s="407"/>
      <c r="AN24" s="408"/>
    </row>
    <row r="25" spans="1:40" ht="3" customHeight="1">
      <c r="A25" s="281"/>
      <c r="B25" s="282"/>
      <c r="C25" s="282"/>
      <c r="D25" s="407"/>
      <c r="E25" s="407"/>
      <c r="F25" s="407"/>
      <c r="G25" s="407"/>
      <c r="H25" s="407"/>
      <c r="I25" s="407"/>
      <c r="J25" s="407"/>
      <c r="K25" s="407"/>
      <c r="L25" s="407"/>
      <c r="M25" s="407"/>
      <c r="N25" s="407"/>
      <c r="O25" s="407"/>
      <c r="P25" s="407"/>
      <c r="Q25" s="408"/>
      <c r="R25" s="281"/>
      <c r="S25" s="282"/>
      <c r="T25" s="282"/>
      <c r="U25" s="407"/>
      <c r="V25" s="407"/>
      <c r="W25" s="407"/>
      <c r="X25" s="407"/>
      <c r="Y25" s="407"/>
      <c r="Z25" s="407"/>
      <c r="AA25" s="407"/>
      <c r="AB25" s="407"/>
      <c r="AC25" s="407"/>
      <c r="AD25" s="407"/>
      <c r="AE25" s="407"/>
      <c r="AF25" s="407"/>
      <c r="AG25" s="407"/>
      <c r="AH25" s="407"/>
      <c r="AI25" s="407"/>
      <c r="AJ25" s="407"/>
      <c r="AK25" s="407"/>
      <c r="AL25" s="407"/>
      <c r="AM25" s="407"/>
      <c r="AN25" s="408"/>
    </row>
    <row r="26" spans="1:40" ht="15.75" customHeight="1">
      <c r="A26" s="281"/>
      <c r="B26" s="425"/>
      <c r="C26" s="282"/>
      <c r="D26" s="1146" t="str">
        <f>Cover!AB35</f>
        <v>14 Test / Inspection equipment list</v>
      </c>
      <c r="E26" s="1146"/>
      <c r="F26" s="1146"/>
      <c r="G26" s="1146"/>
      <c r="H26" s="1146"/>
      <c r="I26" s="1146"/>
      <c r="J26" s="1146"/>
      <c r="K26" s="1146"/>
      <c r="L26" s="1146"/>
      <c r="M26" s="1146"/>
      <c r="N26" s="1146"/>
      <c r="O26" s="1146"/>
      <c r="P26" s="1146"/>
      <c r="Q26" s="1147"/>
      <c r="R26" s="281"/>
      <c r="S26" s="425"/>
      <c r="T26" s="282"/>
      <c r="U26" s="1146" t="str">
        <f>Cover!BU35</f>
        <v xml:space="preserve">22 Approval of coating systems </v>
      </c>
      <c r="V26" s="1146"/>
      <c r="W26" s="1146"/>
      <c r="X26" s="1146"/>
      <c r="Y26" s="1146"/>
      <c r="Z26" s="1146"/>
      <c r="AA26" s="1146"/>
      <c r="AB26" s="1146"/>
      <c r="AC26" s="1146"/>
      <c r="AD26" s="1146"/>
      <c r="AE26" s="1146"/>
      <c r="AF26" s="1146"/>
      <c r="AG26" s="1146"/>
      <c r="AH26" s="1146"/>
      <c r="AI26" s="1146"/>
      <c r="AJ26" s="1146"/>
      <c r="AK26" s="1146"/>
      <c r="AL26" s="1146"/>
      <c r="AM26" s="1146"/>
      <c r="AN26" s="1147"/>
    </row>
    <row r="27" spans="1:40" ht="3" customHeight="1">
      <c r="A27" s="281"/>
      <c r="B27" s="282"/>
      <c r="C27" s="282"/>
      <c r="D27" s="407"/>
      <c r="E27" s="407"/>
      <c r="F27" s="407"/>
      <c r="G27" s="407"/>
      <c r="H27" s="407"/>
      <c r="I27" s="407"/>
      <c r="J27" s="407"/>
      <c r="K27" s="407"/>
      <c r="L27" s="407"/>
      <c r="M27" s="407"/>
      <c r="N27" s="407"/>
      <c r="O27" s="407"/>
      <c r="P27" s="407"/>
      <c r="Q27" s="408"/>
      <c r="R27" s="281"/>
      <c r="S27" s="282"/>
      <c r="T27" s="282"/>
      <c r="U27" s="407"/>
      <c r="V27" s="407"/>
      <c r="W27" s="407"/>
      <c r="X27" s="407"/>
      <c r="Y27" s="407"/>
      <c r="Z27" s="407"/>
      <c r="AA27" s="407"/>
      <c r="AB27" s="407"/>
      <c r="AC27" s="407"/>
      <c r="AD27" s="407"/>
      <c r="AE27" s="407"/>
      <c r="AF27" s="407"/>
      <c r="AG27" s="407"/>
      <c r="AH27" s="407"/>
      <c r="AI27" s="407"/>
      <c r="AJ27" s="407"/>
      <c r="AK27" s="407"/>
      <c r="AL27" s="407"/>
      <c r="AM27" s="407"/>
      <c r="AN27" s="408"/>
    </row>
    <row r="28" spans="1:40" ht="3" customHeight="1">
      <c r="A28" s="281"/>
      <c r="B28" s="282"/>
      <c r="C28" s="282"/>
      <c r="D28" s="407"/>
      <c r="E28" s="407"/>
      <c r="F28" s="407"/>
      <c r="G28" s="407"/>
      <c r="H28" s="407"/>
      <c r="I28" s="407"/>
      <c r="J28" s="407"/>
      <c r="K28" s="407"/>
      <c r="L28" s="407"/>
      <c r="M28" s="407"/>
      <c r="N28" s="407"/>
      <c r="O28" s="407"/>
      <c r="P28" s="407"/>
      <c r="Q28" s="408"/>
      <c r="R28" s="281"/>
      <c r="S28" s="282"/>
      <c r="T28" s="282"/>
      <c r="U28" s="407"/>
      <c r="V28" s="407"/>
      <c r="W28" s="407"/>
      <c r="X28" s="407"/>
      <c r="Y28" s="407"/>
      <c r="Z28" s="407"/>
      <c r="AA28" s="407"/>
      <c r="AB28" s="407"/>
      <c r="AC28" s="407"/>
      <c r="AD28" s="407"/>
      <c r="AE28" s="407"/>
      <c r="AF28" s="407"/>
      <c r="AG28" s="407"/>
      <c r="AH28" s="407"/>
      <c r="AI28" s="407"/>
      <c r="AJ28" s="407"/>
      <c r="AK28" s="407"/>
      <c r="AL28" s="407"/>
      <c r="AM28" s="407"/>
      <c r="AN28" s="408"/>
    </row>
    <row r="29" spans="1:40" ht="15.75" customHeight="1">
      <c r="A29" s="281"/>
      <c r="B29" s="425"/>
      <c r="C29" s="282"/>
      <c r="D29" s="1146" t="str">
        <f>Cover!AB37</f>
        <v>15 Capability study testing equipment</v>
      </c>
      <c r="E29" s="1146"/>
      <c r="F29" s="1146"/>
      <c r="G29" s="1146"/>
      <c r="H29" s="1146"/>
      <c r="I29" s="1146"/>
      <c r="J29" s="1146"/>
      <c r="K29" s="1146"/>
      <c r="L29" s="1146"/>
      <c r="M29" s="1146"/>
      <c r="N29" s="1146"/>
      <c r="O29" s="1146"/>
      <c r="P29" s="1146"/>
      <c r="Q29" s="1147"/>
      <c r="R29" s="281"/>
      <c r="S29" s="425"/>
      <c r="T29" s="282"/>
      <c r="U29" s="407">
        <v>23</v>
      </c>
      <c r="V29" s="1146" t="str">
        <f>Cover!BX37</f>
        <v>Other</v>
      </c>
      <c r="W29" s="1146"/>
      <c r="X29" s="1146"/>
      <c r="Y29" s="1146"/>
      <c r="Z29" s="1146"/>
      <c r="AA29" s="1146"/>
      <c r="AB29" s="1146"/>
      <c r="AC29" s="1146"/>
      <c r="AD29" s="1146"/>
      <c r="AE29" s="1146"/>
      <c r="AF29" s="1146"/>
      <c r="AG29" s="1146"/>
      <c r="AH29" s="1146"/>
      <c r="AI29" s="1146"/>
      <c r="AJ29" s="1146"/>
      <c r="AK29" s="1146"/>
      <c r="AL29" s="1146"/>
      <c r="AM29" s="1146"/>
      <c r="AN29" s="1147"/>
    </row>
    <row r="30" spans="1:40" ht="3" customHeight="1" thickBot="1">
      <c r="A30" s="374"/>
      <c r="B30" s="375"/>
      <c r="C30" s="375"/>
      <c r="D30" s="376"/>
      <c r="E30" s="376"/>
      <c r="F30" s="376"/>
      <c r="G30" s="376"/>
      <c r="H30" s="376"/>
      <c r="I30" s="376"/>
      <c r="J30" s="376"/>
      <c r="K30" s="376"/>
      <c r="L30" s="376"/>
      <c r="M30" s="376"/>
      <c r="N30" s="376"/>
      <c r="O30" s="376"/>
      <c r="P30" s="376"/>
      <c r="Q30" s="377"/>
      <c r="R30" s="375"/>
      <c r="S30" s="375"/>
      <c r="T30" s="375"/>
      <c r="U30" s="378"/>
      <c r="V30" s="376"/>
      <c r="W30" s="376"/>
      <c r="X30" s="376"/>
      <c r="Y30" s="376"/>
      <c r="Z30" s="376"/>
      <c r="AA30" s="376"/>
      <c r="AB30" s="376"/>
      <c r="AC30" s="376"/>
      <c r="AD30" s="376"/>
      <c r="AE30" s="376"/>
      <c r="AF30" s="376"/>
      <c r="AG30" s="376"/>
      <c r="AH30" s="376"/>
      <c r="AI30" s="376"/>
      <c r="AJ30" s="376"/>
      <c r="AK30" s="376"/>
      <c r="AL30" s="376"/>
      <c r="AM30" s="376"/>
      <c r="AN30" s="377"/>
    </row>
    <row r="31" spans="1:40" ht="3" customHeight="1" thickBot="1">
      <c r="A31" s="386"/>
      <c r="B31" s="25"/>
      <c r="C31" s="25"/>
      <c r="D31" s="25"/>
      <c r="E31" s="25"/>
      <c r="F31" s="25"/>
      <c r="G31" s="25"/>
      <c r="H31" s="25"/>
      <c r="I31" s="25"/>
      <c r="J31" s="25"/>
      <c r="K31" s="25"/>
      <c r="L31" s="25"/>
      <c r="M31" s="25"/>
      <c r="N31" s="25"/>
      <c r="O31" s="25"/>
      <c r="P31" s="25"/>
      <c r="Q31" s="25"/>
      <c r="R31" s="25"/>
      <c r="S31" s="25"/>
      <c r="T31" s="25"/>
      <c r="U31" s="25"/>
      <c r="V31" s="25"/>
      <c r="W31" s="25"/>
      <c r="X31" s="25"/>
      <c r="Y31" s="25"/>
      <c r="Z31" s="25"/>
      <c r="AA31" s="25"/>
      <c r="AB31" s="25"/>
      <c r="AC31" s="25"/>
      <c r="AD31" s="25"/>
      <c r="AE31" s="25"/>
      <c r="AF31" s="25"/>
      <c r="AG31" s="25"/>
      <c r="AH31" s="25"/>
      <c r="AI31" s="25"/>
      <c r="AJ31" s="25"/>
      <c r="AK31" s="25"/>
      <c r="AL31" s="25"/>
      <c r="AM31" s="25"/>
      <c r="AN31" s="387"/>
    </row>
    <row r="32" spans="1:40" ht="16.5" customHeight="1">
      <c r="A32" s="919" t="str">
        <f>Content!A4</f>
        <v>Supplier/Production plant:</v>
      </c>
      <c r="B32" s="920"/>
      <c r="C32" s="920"/>
      <c r="D32" s="920"/>
      <c r="E32" s="920"/>
      <c r="F32" s="920"/>
      <c r="G32" s="920"/>
      <c r="H32" s="920"/>
      <c r="I32" s="920"/>
      <c r="J32" s="920"/>
      <c r="K32" s="923">
        <f>Cover!H41</f>
        <v>0</v>
      </c>
      <c r="L32" s="923"/>
      <c r="M32" s="923"/>
      <c r="N32" s="923"/>
      <c r="O32" s="923"/>
      <c r="P32" s="923"/>
      <c r="Q32" s="924"/>
      <c r="R32" s="919" t="str">
        <f>Content!Q4</f>
        <v>Customer:</v>
      </c>
      <c r="S32" s="920"/>
      <c r="T32" s="920"/>
      <c r="U32" s="920"/>
      <c r="V32" s="920"/>
      <c r="W32" s="920"/>
      <c r="X32" s="920"/>
      <c r="Y32" s="923">
        <f>Cover!CP41</f>
        <v>0</v>
      </c>
      <c r="Z32" s="923"/>
      <c r="AA32" s="923"/>
      <c r="AB32" s="923"/>
      <c r="AC32" s="923"/>
      <c r="AD32" s="923"/>
      <c r="AE32" s="923"/>
      <c r="AF32" s="923"/>
      <c r="AG32" s="923"/>
      <c r="AH32" s="923"/>
      <c r="AI32" s="923"/>
      <c r="AJ32" s="923"/>
      <c r="AK32" s="923"/>
      <c r="AL32" s="923"/>
      <c r="AM32" s="923"/>
      <c r="AN32" s="924"/>
    </row>
    <row r="33" spans="1:40" ht="16.5" customHeight="1">
      <c r="A33" s="1176" t="str">
        <f>Content!A5</f>
        <v>ID number / DUNS:</v>
      </c>
      <c r="B33" s="1177"/>
      <c r="C33" s="1177"/>
      <c r="D33" s="1177"/>
      <c r="E33" s="1177"/>
      <c r="F33" s="1177"/>
      <c r="G33" s="1177"/>
      <c r="H33" s="1177"/>
      <c r="I33" s="925">
        <f>Cover!AM41</f>
        <v>0</v>
      </c>
      <c r="J33" s="925"/>
      <c r="K33" s="925"/>
      <c r="L33" s="925"/>
      <c r="M33" s="925"/>
      <c r="N33" s="925"/>
      <c r="O33" s="925"/>
      <c r="P33" s="925"/>
      <c r="Q33" s="926"/>
      <c r="R33" s="1176" t="str">
        <f>Content!Q5</f>
        <v>ID number:</v>
      </c>
      <c r="S33" s="1177"/>
      <c r="T33" s="1177"/>
      <c r="U33" s="1177"/>
      <c r="V33" s="1177"/>
      <c r="W33" s="1177"/>
      <c r="X33" s="1177"/>
      <c r="Y33" s="925"/>
      <c r="Z33" s="925"/>
      <c r="AA33" s="925"/>
      <c r="AB33" s="925"/>
      <c r="AC33" s="925"/>
      <c r="AD33" s="925"/>
      <c r="AE33" s="925"/>
      <c r="AF33" s="925"/>
      <c r="AG33" s="925"/>
      <c r="AH33" s="925"/>
      <c r="AI33" s="925"/>
      <c r="AJ33" s="925"/>
      <c r="AK33" s="925"/>
      <c r="AL33" s="925"/>
      <c r="AM33" s="925"/>
      <c r="AN33" s="926"/>
    </row>
    <row r="34" spans="1:40" ht="16.5" customHeight="1">
      <c r="A34" s="1176" t="str">
        <f>Content!A6</f>
        <v>Report No.:</v>
      </c>
      <c r="B34" s="1177"/>
      <c r="C34" s="1177"/>
      <c r="D34" s="1177"/>
      <c r="E34" s="1177"/>
      <c r="F34" s="1177"/>
      <c r="G34" s="925">
        <f>Cover!CP42</f>
        <v>0</v>
      </c>
      <c r="H34" s="925"/>
      <c r="I34" s="925"/>
      <c r="J34" s="925"/>
      <c r="K34" s="925"/>
      <c r="L34" s="1122" t="s">
        <v>69</v>
      </c>
      <c r="M34" s="1122"/>
      <c r="N34" s="927"/>
      <c r="O34" s="927"/>
      <c r="P34" s="927"/>
      <c r="Q34" s="928"/>
      <c r="R34" s="1176" t="str">
        <f>Content!Q6</f>
        <v>Report No.:</v>
      </c>
      <c r="S34" s="1177"/>
      <c r="T34" s="1177"/>
      <c r="U34" s="1177"/>
      <c r="V34" s="1177"/>
      <c r="W34" s="1177"/>
      <c r="X34" s="1177"/>
      <c r="Y34" s="925"/>
      <c r="Z34" s="925"/>
      <c r="AA34" s="925"/>
      <c r="AB34" s="925"/>
      <c r="AC34" s="925"/>
      <c r="AD34" s="925"/>
      <c r="AE34" s="925"/>
      <c r="AF34" s="925"/>
      <c r="AG34" s="925"/>
      <c r="AH34" s="1122" t="s">
        <v>69</v>
      </c>
      <c r="AI34" s="1122"/>
      <c r="AJ34" s="1122"/>
      <c r="AK34" s="927"/>
      <c r="AL34" s="927"/>
      <c r="AM34" s="927"/>
      <c r="AN34" s="928"/>
    </row>
    <row r="35" spans="1:40" ht="16.5" customHeight="1">
      <c r="A35" s="1009" t="str">
        <f>Content!A7</f>
        <v>Part description:</v>
      </c>
      <c r="B35" s="1010"/>
      <c r="C35" s="1010"/>
      <c r="D35" s="1010"/>
      <c r="E35" s="1010"/>
      <c r="F35" s="1010"/>
      <c r="G35" s="938">
        <f>Cover!G42</f>
        <v>0</v>
      </c>
      <c r="H35" s="938"/>
      <c r="I35" s="938"/>
      <c r="J35" s="938"/>
      <c r="K35" s="938"/>
      <c r="L35" s="938"/>
      <c r="M35" s="938"/>
      <c r="N35" s="938"/>
      <c r="O35" s="938"/>
      <c r="P35" s="938"/>
      <c r="Q35" s="939"/>
      <c r="R35" s="1009" t="str">
        <f>Content!A7</f>
        <v>Part description:</v>
      </c>
      <c r="S35" s="1010"/>
      <c r="T35" s="1010"/>
      <c r="U35" s="1010"/>
      <c r="V35" s="1010"/>
      <c r="W35" s="1010"/>
      <c r="X35" s="1010"/>
      <c r="Y35" s="938"/>
      <c r="Z35" s="938"/>
      <c r="AA35" s="938"/>
      <c r="AB35" s="938"/>
      <c r="AC35" s="938"/>
      <c r="AD35" s="938"/>
      <c r="AE35" s="938"/>
      <c r="AF35" s="938"/>
      <c r="AG35" s="938"/>
      <c r="AH35" s="938"/>
      <c r="AI35" s="938"/>
      <c r="AJ35" s="938"/>
      <c r="AK35" s="938"/>
      <c r="AL35" s="938"/>
      <c r="AM35" s="938"/>
      <c r="AN35" s="939"/>
    </row>
    <row r="36" spans="1:40" ht="16.5" customHeight="1">
      <c r="A36" s="1012" t="str">
        <f>Cover!B43</f>
        <v>Part number:</v>
      </c>
      <c r="B36" s="1013"/>
      <c r="C36" s="1013"/>
      <c r="D36" s="1013"/>
      <c r="E36" s="1013"/>
      <c r="F36" s="1013"/>
      <c r="G36" s="1119">
        <f>Cover!G43</f>
        <v>0</v>
      </c>
      <c r="H36" s="1119"/>
      <c r="I36" s="1119"/>
      <c r="J36" s="1119"/>
      <c r="K36" s="1119"/>
      <c r="L36" s="1119"/>
      <c r="M36" s="1119"/>
      <c r="N36" s="1119"/>
      <c r="O36" s="1119"/>
      <c r="P36" s="1119"/>
      <c r="Q36" s="1120"/>
      <c r="R36" s="1012" t="str">
        <f>A36</f>
        <v>Part number:</v>
      </c>
      <c r="S36" s="1013"/>
      <c r="T36" s="1013"/>
      <c r="U36" s="1013"/>
      <c r="V36" s="1013"/>
      <c r="W36" s="1013"/>
      <c r="X36" s="1013"/>
      <c r="Y36" s="1119"/>
      <c r="Z36" s="1119"/>
      <c r="AA36" s="1119"/>
      <c r="AB36" s="1119"/>
      <c r="AC36" s="1119"/>
      <c r="AD36" s="1119"/>
      <c r="AE36" s="1119"/>
      <c r="AF36" s="1119"/>
      <c r="AG36" s="1119"/>
      <c r="AH36" s="1119"/>
      <c r="AI36" s="1119"/>
      <c r="AJ36" s="1119"/>
      <c r="AK36" s="1119"/>
      <c r="AL36" s="1119"/>
      <c r="AM36" s="1119"/>
      <c r="AN36" s="1120"/>
    </row>
    <row r="37" spans="1:40" ht="16.5" customHeight="1">
      <c r="A37" s="1012" t="str">
        <f>Content!Q7</f>
        <v>Drawing number:</v>
      </c>
      <c r="B37" s="1013"/>
      <c r="C37" s="1013"/>
      <c r="D37" s="1013"/>
      <c r="E37" s="1013"/>
      <c r="F37" s="1013"/>
      <c r="G37" s="1013"/>
      <c r="H37" s="1119">
        <f>Cover!G44</f>
        <v>0</v>
      </c>
      <c r="I37" s="1119"/>
      <c r="J37" s="1119"/>
      <c r="K37" s="1119"/>
      <c r="L37" s="1119"/>
      <c r="M37" s="1119"/>
      <c r="N37" s="1119"/>
      <c r="O37" s="1119"/>
      <c r="P37" s="1119"/>
      <c r="Q37" s="1120"/>
      <c r="R37" s="1012" t="str">
        <f>Content!Q7</f>
        <v>Drawing number:</v>
      </c>
      <c r="S37" s="1013"/>
      <c r="T37" s="1013"/>
      <c r="U37" s="1013"/>
      <c r="V37" s="1013"/>
      <c r="W37" s="1013"/>
      <c r="X37" s="1013"/>
      <c r="Y37" s="1013"/>
      <c r="Z37" s="1013"/>
      <c r="AA37" s="1119"/>
      <c r="AB37" s="1119"/>
      <c r="AC37" s="1119"/>
      <c r="AD37" s="1119"/>
      <c r="AE37" s="1119"/>
      <c r="AF37" s="1119"/>
      <c r="AG37" s="1119"/>
      <c r="AH37" s="1119"/>
      <c r="AI37" s="1119"/>
      <c r="AJ37" s="1119"/>
      <c r="AK37" s="1119"/>
      <c r="AL37" s="1119"/>
      <c r="AM37" s="1119"/>
      <c r="AN37" s="1120"/>
    </row>
    <row r="38" spans="1:40" ht="16.5" customHeight="1" thickBot="1">
      <c r="A38" s="1175" t="str">
        <f>Content!Q8</f>
        <v>Issue / Date:</v>
      </c>
      <c r="B38" s="900"/>
      <c r="C38" s="900"/>
      <c r="D38" s="900"/>
      <c r="E38" s="900"/>
      <c r="F38" s="900"/>
      <c r="G38" s="940">
        <f>Cover!G45</f>
        <v>0</v>
      </c>
      <c r="H38" s="940"/>
      <c r="I38" s="940"/>
      <c r="J38" s="940"/>
      <c r="K38" s="940"/>
      <c r="L38" s="940"/>
      <c r="M38" s="940"/>
      <c r="N38" s="940"/>
      <c r="O38" s="940"/>
      <c r="P38" s="940"/>
      <c r="Q38" s="941"/>
      <c r="R38" s="1175" t="str">
        <f>Content!Q8</f>
        <v>Issue / Date:</v>
      </c>
      <c r="S38" s="900"/>
      <c r="T38" s="900"/>
      <c r="U38" s="900"/>
      <c r="V38" s="900"/>
      <c r="W38" s="900"/>
      <c r="X38" s="900"/>
      <c r="Y38" s="940"/>
      <c r="Z38" s="940"/>
      <c r="AA38" s="940"/>
      <c r="AB38" s="940"/>
      <c r="AC38" s="940"/>
      <c r="AD38" s="940"/>
      <c r="AE38" s="940"/>
      <c r="AF38" s="940"/>
      <c r="AG38" s="940"/>
      <c r="AH38" s="940"/>
      <c r="AI38" s="940"/>
      <c r="AJ38" s="940"/>
      <c r="AK38" s="940"/>
      <c r="AL38" s="940"/>
      <c r="AM38" s="940"/>
      <c r="AN38" s="941"/>
    </row>
    <row r="39" spans="1:40" ht="15.75">
      <c r="A39" s="8"/>
      <c r="B39" s="1691" t="str">
        <f>VLOOKUP("Beurteilung Prozess",Translations!$A:$T,MATCH(Cover!DR19,Translations!A2:P2,0),0)</f>
        <v>Assessment: Production process</v>
      </c>
      <c r="C39" s="1691"/>
      <c r="D39" s="1691"/>
      <c r="E39" s="1691"/>
      <c r="F39" s="1691"/>
      <c r="G39" s="1691"/>
      <c r="H39" s="1691"/>
      <c r="I39" s="1691"/>
      <c r="J39" s="1691"/>
      <c r="K39" s="1691"/>
      <c r="L39" s="1691"/>
      <c r="M39" s="1691"/>
      <c r="N39" s="1691"/>
      <c r="O39" s="1691"/>
      <c r="P39" s="1691"/>
      <c r="Q39" s="1691"/>
      <c r="R39" s="1691"/>
      <c r="S39" s="1691"/>
      <c r="T39" s="1691"/>
      <c r="U39" s="1691"/>
      <c r="V39" s="1691"/>
      <c r="W39" s="1691"/>
      <c r="X39" s="1691"/>
      <c r="Y39" s="1691"/>
      <c r="Z39" s="1691"/>
      <c r="AA39" s="1691"/>
      <c r="AB39" s="1691"/>
      <c r="AC39" s="1691"/>
      <c r="AD39" s="1691"/>
      <c r="AE39" s="1691"/>
      <c r="AF39" s="1691"/>
      <c r="AG39" s="1691"/>
      <c r="AH39" s="1691"/>
      <c r="AI39" s="1691"/>
      <c r="AJ39" s="1691"/>
      <c r="AK39" s="1691"/>
      <c r="AL39" s="1691"/>
      <c r="AM39" s="1691"/>
      <c r="AN39" s="1692"/>
    </row>
    <row r="40" spans="1:40" ht="11.45" customHeight="1" thickBot="1">
      <c r="A40" s="8"/>
      <c r="B40" s="1722"/>
      <c r="C40" s="1722"/>
      <c r="D40" s="1722"/>
      <c r="E40" s="1722"/>
      <c r="F40" s="1722"/>
      <c r="G40" s="1722"/>
      <c r="H40" s="1722"/>
      <c r="I40" s="1722"/>
      <c r="J40" s="1722"/>
      <c r="K40" s="1722"/>
      <c r="L40" s="1722"/>
      <c r="M40" s="1722"/>
      <c r="N40" s="1722"/>
      <c r="O40" s="1722"/>
      <c r="P40" s="1722"/>
      <c r="Q40" s="1722"/>
      <c r="R40" s="1722"/>
      <c r="S40" s="1722"/>
      <c r="T40" s="1722"/>
      <c r="U40" s="1722"/>
      <c r="V40" s="1722"/>
      <c r="W40" s="1722"/>
      <c r="X40" s="1722"/>
      <c r="Y40" s="1722"/>
      <c r="Z40" s="1722"/>
      <c r="AA40" s="1722"/>
      <c r="AB40" s="1722"/>
      <c r="AC40" s="1722"/>
      <c r="AD40" s="1722"/>
      <c r="AE40" s="1722"/>
      <c r="AF40" s="1722"/>
      <c r="AG40" s="1722"/>
      <c r="AH40" s="1722"/>
      <c r="AI40" s="1722"/>
      <c r="AJ40" s="1722"/>
      <c r="AK40" s="1722"/>
      <c r="AL40" s="1722"/>
      <c r="AM40" s="1722"/>
      <c r="AN40" s="1723"/>
    </row>
    <row r="41" spans="1:40" ht="15" thickBot="1">
      <c r="A41" s="1703" t="str">
        <f>VLOOKUP("sachnummer",Translations!$A:$T,MATCH(Cover!DR19,Translations!A2:P2,0),0)</f>
        <v>Part number:</v>
      </c>
      <c r="B41" s="1697"/>
      <c r="C41" s="1697"/>
      <c r="D41" s="1697"/>
      <c r="E41" s="1697"/>
      <c r="F41" s="1698"/>
      <c r="G41" s="1700"/>
      <c r="H41" s="1701"/>
      <c r="I41" s="1701"/>
      <c r="J41" s="1701"/>
      <c r="K41" s="1701"/>
      <c r="L41" s="1702"/>
      <c r="M41" s="302"/>
      <c r="N41" s="1697" t="str">
        <f>VLOOKUP("benennung",Translations!$A:$T,MATCH(Cover!DR19,Translations!A2:P2,0),0)</f>
        <v>Part description:</v>
      </c>
      <c r="O41" s="1697"/>
      <c r="P41" s="1697"/>
      <c r="Q41" s="1697"/>
      <c r="R41" s="1697"/>
      <c r="S41" s="1697"/>
      <c r="T41" s="1697"/>
      <c r="U41" s="1698"/>
      <c r="V41" s="1725"/>
      <c r="W41" s="1726"/>
      <c r="X41" s="1726"/>
      <c r="Y41" s="1726"/>
      <c r="Z41" s="1726"/>
      <c r="AA41" s="1726"/>
      <c r="AB41" s="1726"/>
      <c r="AC41" s="1726"/>
      <c r="AD41" s="1726"/>
      <c r="AE41" s="1726"/>
      <c r="AF41" s="1726"/>
      <c r="AG41" s="1726"/>
      <c r="AH41" s="1727"/>
      <c r="AI41" s="1724"/>
      <c r="AJ41" s="1722"/>
      <c r="AK41" s="1722"/>
      <c r="AL41" s="1722"/>
      <c r="AM41" s="1722"/>
      <c r="AN41" s="1723"/>
    </row>
    <row r="42" spans="1:40" ht="13.5" thickBot="1">
      <c r="A42" s="8"/>
      <c r="B42" s="1722"/>
      <c r="C42" s="1722"/>
      <c r="D42" s="1722"/>
      <c r="E42" s="1722"/>
      <c r="F42" s="1722"/>
      <c r="G42" s="1722"/>
      <c r="H42" s="1722"/>
      <c r="I42" s="1722"/>
      <c r="J42" s="1722"/>
      <c r="K42" s="1722"/>
      <c r="L42" s="1722"/>
      <c r="M42" s="1722"/>
      <c r="N42" s="1722"/>
      <c r="O42" s="1722"/>
      <c r="P42" s="1722"/>
      <c r="Q42" s="1722"/>
      <c r="R42" s="1722"/>
      <c r="S42" s="1722"/>
      <c r="T42" s="1722"/>
      <c r="U42" s="1722"/>
      <c r="V42" s="1722"/>
      <c r="W42" s="1722"/>
      <c r="X42" s="1722"/>
      <c r="Y42" s="1722"/>
      <c r="Z42" s="1722"/>
      <c r="AA42" s="1722"/>
      <c r="AB42" s="1722"/>
      <c r="AC42" s="1722"/>
      <c r="AD42" s="1722"/>
      <c r="AE42" s="1722"/>
      <c r="AF42" s="1722"/>
      <c r="AG42" s="1722"/>
      <c r="AH42" s="1722"/>
      <c r="AI42" s="1722"/>
      <c r="AJ42" s="1722"/>
      <c r="AK42" s="1722"/>
      <c r="AL42" s="1722"/>
      <c r="AM42" s="1722"/>
      <c r="AN42" s="1723"/>
    </row>
    <row r="43" spans="1:40" ht="15" thickBot="1">
      <c r="A43" s="8"/>
      <c r="B43" s="1720" t="str">
        <f>VLOOKUP("lieferantproduktionsstandort",Translations!$A:$T,MATCH(Cover!DR19,Translations!A2:P2,0),0)</f>
        <v>Supplier/Production plant:</v>
      </c>
      <c r="C43" s="1720"/>
      <c r="D43" s="1720"/>
      <c r="E43" s="1720"/>
      <c r="F43" s="1721"/>
      <c r="G43" s="1700"/>
      <c r="H43" s="1701"/>
      <c r="I43" s="1701"/>
      <c r="J43" s="1701"/>
      <c r="K43" s="1701"/>
      <c r="L43" s="1702"/>
      <c r="M43" s="302"/>
      <c r="N43" s="1697" t="str">
        <f>VLOOKUP("Farbe",Translations!$A:$T,MATCH(Cover!DR19,Translations!A2:P2,0),0)</f>
        <v>Colour:</v>
      </c>
      <c r="O43" s="1697"/>
      <c r="P43" s="1697"/>
      <c r="Q43" s="1697"/>
      <c r="R43" s="1697"/>
      <c r="S43" s="1697"/>
      <c r="T43" s="1697"/>
      <c r="U43" s="1698"/>
      <c r="V43" s="1700"/>
      <c r="W43" s="1701"/>
      <c r="X43" s="1701"/>
      <c r="Y43" s="1701"/>
      <c r="Z43" s="1701"/>
      <c r="AA43" s="1701"/>
      <c r="AB43" s="1701"/>
      <c r="AC43" s="1701"/>
      <c r="AD43" s="1701"/>
      <c r="AE43" s="1701"/>
      <c r="AF43" s="1701"/>
      <c r="AG43" s="1701"/>
      <c r="AH43" s="1702"/>
      <c r="AI43" s="302"/>
      <c r="AJ43" s="302"/>
      <c r="AK43" s="302"/>
      <c r="AL43" s="302"/>
      <c r="AM43" s="302"/>
      <c r="AN43" s="4"/>
    </row>
    <row r="44" spans="1:40">
      <c r="A44" s="8"/>
      <c r="B44" s="362"/>
      <c r="C44" s="362"/>
      <c r="D44" s="362"/>
      <c r="E44" s="362"/>
      <c r="F44" s="362"/>
      <c r="G44" s="362"/>
      <c r="H44" s="362"/>
      <c r="I44" s="362"/>
      <c r="J44" s="362"/>
      <c r="K44" s="362"/>
      <c r="L44" s="362"/>
      <c r="M44" s="362"/>
      <c r="N44" s="1699"/>
      <c r="O44" s="1699"/>
      <c r="P44" s="1699"/>
      <c r="Q44" s="1699"/>
      <c r="R44" s="1699"/>
      <c r="S44" s="1699"/>
      <c r="T44" s="1699"/>
      <c r="U44" s="1699"/>
      <c r="V44" s="431"/>
      <c r="AI44" s="302"/>
      <c r="AJ44" s="302"/>
      <c r="AK44" s="302"/>
      <c r="AL44" s="302"/>
      <c r="AM44" s="302"/>
      <c r="AN44" s="4"/>
    </row>
    <row r="45" spans="1:40" ht="6.75" customHeight="1" thickBot="1">
      <c r="A45" s="2"/>
      <c r="B45" s="363"/>
      <c r="C45" s="363"/>
      <c r="D45" s="363"/>
      <c r="E45" s="363"/>
      <c r="F45" s="363"/>
      <c r="G45" s="363"/>
      <c r="H45" s="363"/>
      <c r="I45" s="363"/>
      <c r="J45" s="363"/>
      <c r="K45" s="363"/>
      <c r="L45" s="363"/>
      <c r="M45" s="363"/>
      <c r="N45" s="363"/>
      <c r="O45" s="363"/>
      <c r="P45" s="363"/>
      <c r="Q45" s="5"/>
      <c r="R45" s="5"/>
      <c r="S45" s="5"/>
      <c r="T45" s="5"/>
      <c r="U45" s="5"/>
      <c r="V45" s="5"/>
      <c r="W45" s="5"/>
      <c r="X45" s="5"/>
      <c r="Y45" s="5"/>
      <c r="Z45" s="5"/>
      <c r="AA45" s="5"/>
      <c r="AB45" s="5"/>
      <c r="AC45" s="5"/>
      <c r="AD45" s="5"/>
      <c r="AE45" s="5"/>
      <c r="AF45" s="5"/>
      <c r="AG45" s="5"/>
      <c r="AH45" s="5"/>
      <c r="AI45" s="5"/>
      <c r="AJ45" s="5"/>
      <c r="AK45" s="5"/>
      <c r="AL45" s="5"/>
      <c r="AM45" s="5"/>
      <c r="AN45" s="3"/>
    </row>
    <row r="46" spans="1:40" ht="15">
      <c r="A46" s="8"/>
      <c r="B46" s="1693" t="str">
        <f>VLOOKUP("Entwurfsstufe",Translations!$A:$T,MATCH(Cover!DR19,Translations!A2:P2,0),0)</f>
        <v>Design level:</v>
      </c>
      <c r="C46" s="1693"/>
      <c r="D46" s="1693"/>
      <c r="E46" s="1693"/>
      <c r="F46" s="1693"/>
      <c r="G46" s="1693"/>
      <c r="H46" s="1693"/>
      <c r="I46" s="302"/>
      <c r="J46" s="302"/>
      <c r="K46" s="302"/>
      <c r="L46" s="302"/>
      <c r="M46" s="302"/>
      <c r="N46" s="302"/>
      <c r="O46" s="302"/>
      <c r="P46" s="302"/>
      <c r="Q46" s="302"/>
      <c r="R46" s="302"/>
      <c r="S46" s="302"/>
      <c r="T46" s="302"/>
      <c r="U46" s="302"/>
      <c r="V46" s="302"/>
      <c r="W46" s="302"/>
      <c r="X46" s="302"/>
      <c r="Y46" s="302"/>
      <c r="Z46" s="302"/>
      <c r="AA46" s="302"/>
      <c r="AB46" s="302"/>
      <c r="AC46" s="302"/>
      <c r="AD46" s="302"/>
      <c r="AE46" s="302"/>
      <c r="AF46" s="302"/>
      <c r="AG46" s="302"/>
      <c r="AH46" s="302"/>
      <c r="AI46" s="302"/>
      <c r="AJ46" s="302"/>
      <c r="AK46" s="302"/>
      <c r="AL46" s="302"/>
      <c r="AM46" s="302"/>
      <c r="AN46" s="4"/>
    </row>
    <row r="47" spans="1:40" ht="13.5" thickBot="1">
      <c r="A47" s="8"/>
      <c r="B47" s="302"/>
      <c r="C47" s="302"/>
      <c r="D47" s="302"/>
      <c r="E47" s="302"/>
      <c r="F47" s="302"/>
      <c r="G47" s="302"/>
      <c r="H47" s="302"/>
      <c r="I47" s="302"/>
      <c r="J47" s="302"/>
      <c r="K47" s="302"/>
      <c r="L47" s="302"/>
      <c r="M47" s="302"/>
      <c r="N47" s="302"/>
      <c r="O47" s="302"/>
      <c r="P47" s="302"/>
      <c r="Q47" s="302"/>
      <c r="R47" s="302"/>
      <c r="S47" s="302"/>
      <c r="T47" s="302"/>
      <c r="U47" s="302"/>
      <c r="V47" s="302"/>
      <c r="W47" s="302"/>
      <c r="X47" s="302"/>
      <c r="Y47" s="302"/>
      <c r="Z47" s="302"/>
      <c r="AA47" s="302"/>
      <c r="AB47" s="302"/>
      <c r="AC47" s="302"/>
      <c r="AD47" s="302"/>
      <c r="AE47" s="302"/>
      <c r="AF47" s="302"/>
      <c r="AG47" s="302"/>
      <c r="AH47" s="302"/>
      <c r="AI47" s="302"/>
      <c r="AJ47" s="302"/>
      <c r="AK47" s="302"/>
      <c r="AL47" s="302"/>
      <c r="AM47" s="302"/>
      <c r="AN47" s="4"/>
    </row>
    <row r="48" spans="1:40" ht="15" thickBot="1">
      <c r="A48" s="1703" t="str">
        <f>VLOOKUP("Y",Translations!$A:$T,MATCH(Cover!DR19,Translations!A2:P2,0),0)</f>
        <v>Presented:</v>
      </c>
      <c r="B48" s="1697"/>
      <c r="C48" s="1697"/>
      <c r="D48" s="1697"/>
      <c r="E48" s="1697"/>
      <c r="F48" s="1698"/>
      <c r="G48" s="1700"/>
      <c r="H48" s="1701"/>
      <c r="I48" s="1701"/>
      <c r="J48" s="1701"/>
      <c r="K48" s="1701"/>
      <c r="L48" s="1702"/>
      <c r="M48" s="302"/>
      <c r="N48" s="1697" t="str">
        <f>VLOOKUP("x",Translations!$A:$T,MATCH(Cover!DR19,Translations!A2:P2,0),0)</f>
        <v>Current:</v>
      </c>
      <c r="O48" s="1697"/>
      <c r="P48" s="1697"/>
      <c r="Q48" s="1697"/>
      <c r="R48" s="1697"/>
      <c r="S48" s="1697"/>
      <c r="T48" s="1697"/>
      <c r="U48" s="1698"/>
      <c r="V48" s="1700"/>
      <c r="W48" s="1701"/>
      <c r="X48" s="1701"/>
      <c r="Y48" s="1701"/>
      <c r="Z48" s="1701"/>
      <c r="AA48" s="1701"/>
      <c r="AB48" s="1701"/>
      <c r="AC48" s="1701"/>
      <c r="AD48" s="1701"/>
      <c r="AE48" s="1701"/>
      <c r="AF48" s="1701"/>
      <c r="AG48" s="1701"/>
      <c r="AH48" s="1702"/>
      <c r="AI48" s="302"/>
      <c r="AJ48" s="302"/>
      <c r="AK48" s="302"/>
      <c r="AL48" s="302"/>
      <c r="AM48" s="302"/>
      <c r="AN48" s="4"/>
    </row>
    <row r="49" spans="1:40" ht="7.5" customHeight="1" thickBot="1">
      <c r="A49" s="2"/>
      <c r="B49" s="5"/>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c r="AN49" s="3"/>
    </row>
    <row r="50" spans="1:40" ht="1.5" hidden="1" customHeight="1">
      <c r="A50" s="7"/>
      <c r="B50" s="6"/>
      <c r="C50" s="6"/>
      <c r="D50" s="6"/>
      <c r="E50" s="6"/>
      <c r="F50" s="6"/>
      <c r="G50" s="6"/>
      <c r="H50" s="6"/>
      <c r="I50" s="6"/>
      <c r="J50" s="6"/>
      <c r="K50" s="6"/>
      <c r="L50" s="6"/>
      <c r="M50" s="6"/>
      <c r="N50" s="6"/>
      <c r="O50" s="6"/>
      <c r="P50" s="6"/>
      <c r="Q50" s="6"/>
      <c r="R50" s="6"/>
      <c r="S50" s="6"/>
      <c r="T50" s="6"/>
      <c r="U50" s="6"/>
      <c r="V50" s="6"/>
      <c r="W50" s="6"/>
      <c r="X50" s="6"/>
      <c r="Y50" s="6"/>
      <c r="Z50" s="6"/>
      <c r="AA50" s="6"/>
      <c r="AB50" s="6"/>
      <c r="AC50" s="6"/>
      <c r="AD50" s="6"/>
      <c r="AE50" s="6"/>
      <c r="AF50" s="6"/>
      <c r="AG50" s="6"/>
      <c r="AH50" s="6"/>
      <c r="AI50" s="6"/>
      <c r="AJ50" s="6"/>
      <c r="AK50" s="6"/>
      <c r="AL50" s="6"/>
      <c r="AM50" s="6"/>
      <c r="AN50" s="1"/>
    </row>
    <row r="51" spans="1:40" ht="15">
      <c r="A51" s="8"/>
      <c r="B51" s="1693" t="str">
        <f>VLOOKUP("elektronische Komponenten",Translations!$A:$T,MATCH(Cover!DR19,Translations!A2:P2,0),0)</f>
        <v>For electronic components:</v>
      </c>
      <c r="C51" s="1693"/>
      <c r="D51" s="1693"/>
      <c r="E51" s="1693"/>
      <c r="F51" s="1693"/>
      <c r="G51" s="1693"/>
      <c r="H51" s="1693"/>
      <c r="I51" s="1693"/>
      <c r="J51" s="1693"/>
      <c r="K51" s="1693"/>
      <c r="L51" s="1693"/>
      <c r="M51" s="302"/>
      <c r="N51" s="302"/>
      <c r="O51" s="302"/>
      <c r="P51" s="302"/>
      <c r="Q51" s="302"/>
      <c r="R51" s="302"/>
      <c r="S51" s="302"/>
      <c r="T51" s="302"/>
      <c r="U51" s="302"/>
      <c r="V51" s="302"/>
      <c r="W51" s="302"/>
      <c r="X51" s="302"/>
      <c r="Y51" s="302"/>
      <c r="Z51" s="302"/>
      <c r="AA51" s="302"/>
      <c r="AB51" s="302"/>
      <c r="AC51" s="302"/>
      <c r="AD51" s="302"/>
      <c r="AE51" s="302"/>
      <c r="AF51" s="302"/>
      <c r="AG51" s="302"/>
      <c r="AH51" s="302"/>
      <c r="AI51" s="302"/>
      <c r="AJ51" s="302"/>
      <c r="AK51" s="302"/>
      <c r="AL51" s="302"/>
      <c r="AM51" s="302"/>
      <c r="AN51" s="4"/>
    </row>
    <row r="52" spans="1:40" ht="13.5" thickBot="1">
      <c r="A52" s="8"/>
      <c r="B52" s="367"/>
      <c r="C52" s="367"/>
      <c r="D52" s="367"/>
      <c r="E52" s="367"/>
      <c r="F52" s="367"/>
      <c r="G52" s="367"/>
      <c r="H52" s="302"/>
      <c r="I52" s="302"/>
      <c r="J52" s="302"/>
      <c r="K52" s="302"/>
      <c r="L52" s="302"/>
      <c r="M52" s="302"/>
      <c r="N52" s="302"/>
      <c r="O52" s="302"/>
      <c r="P52" s="302"/>
      <c r="Q52" s="302"/>
      <c r="R52" s="302"/>
      <c r="S52" s="302"/>
      <c r="T52" s="302"/>
      <c r="U52" s="302"/>
      <c r="V52" s="302"/>
      <c r="W52" s="302"/>
      <c r="X52" s="302"/>
      <c r="Y52" s="302"/>
      <c r="Z52" s="302"/>
      <c r="AA52" s="302"/>
      <c r="AB52" s="302"/>
      <c r="AC52" s="302"/>
      <c r="AD52" s="302"/>
      <c r="AE52" s="302"/>
      <c r="AF52" s="302"/>
      <c r="AG52" s="302"/>
      <c r="AH52" s="302"/>
      <c r="AI52" s="302"/>
      <c r="AJ52" s="302"/>
      <c r="AK52" s="302"/>
      <c r="AL52" s="302"/>
      <c r="AM52" s="302"/>
      <c r="AN52" s="4"/>
    </row>
    <row r="53" spans="1:40" ht="15" thickBot="1">
      <c r="A53" s="8"/>
      <c r="B53" s="1697" t="str">
        <f>VLOOKUP("Hardware level",Translations!$A:$T,MATCH(Cover!DR19,Translations!A2:P2,0),0)</f>
        <v>Hardware level:</v>
      </c>
      <c r="C53" s="1697"/>
      <c r="D53" s="1697"/>
      <c r="E53" s="1697"/>
      <c r="F53" s="1698"/>
      <c r="G53" s="1728"/>
      <c r="H53" s="1729"/>
      <c r="I53" s="1729"/>
      <c r="J53" s="1729"/>
      <c r="K53" s="1729"/>
      <c r="L53" s="1730"/>
      <c r="M53" s="302"/>
      <c r="N53" s="302"/>
      <c r="O53" s="302"/>
      <c r="P53" s="1697" t="str">
        <f>VLOOKUP("Software level",Translations!$A:$T,MATCH(Cover!DR19,Translations!A2:P2,0),0)</f>
        <v>Software level:</v>
      </c>
      <c r="Q53" s="1697"/>
      <c r="R53" s="1697"/>
      <c r="S53" s="1697"/>
      <c r="T53" s="1697"/>
      <c r="U53" s="1698"/>
      <c r="V53" s="1700"/>
      <c r="W53" s="1701"/>
      <c r="X53" s="1701"/>
      <c r="Y53" s="1701"/>
      <c r="Z53" s="1701"/>
      <c r="AA53" s="1701"/>
      <c r="AB53" s="1701"/>
      <c r="AC53" s="1701"/>
      <c r="AD53" s="1701"/>
      <c r="AE53" s="1701"/>
      <c r="AF53" s="1701"/>
      <c r="AG53" s="1701"/>
      <c r="AH53" s="1702"/>
      <c r="AI53" s="302"/>
      <c r="AJ53" s="302"/>
      <c r="AK53" s="302"/>
      <c r="AL53" s="302"/>
      <c r="AM53" s="302"/>
      <c r="AN53" s="4"/>
    </row>
    <row r="54" spans="1:40" ht="13.5" thickBot="1">
      <c r="A54" s="8"/>
      <c r="B54" s="302"/>
      <c r="C54" s="302"/>
      <c r="D54" s="302"/>
      <c r="E54" s="302"/>
      <c r="F54" s="302"/>
      <c r="G54" s="302"/>
      <c r="H54" s="302"/>
      <c r="I54" s="302"/>
      <c r="J54" s="302"/>
      <c r="K54" s="302"/>
      <c r="L54" s="302"/>
      <c r="M54" s="302"/>
      <c r="N54" s="302"/>
      <c r="O54" s="302"/>
      <c r="P54" s="302"/>
      <c r="Q54" s="302"/>
      <c r="R54" s="302"/>
      <c r="S54" s="302"/>
      <c r="T54" s="302"/>
      <c r="U54" s="302"/>
      <c r="V54" s="302"/>
      <c r="W54" s="302"/>
      <c r="X54" s="302"/>
      <c r="Y54" s="302"/>
      <c r="Z54" s="302"/>
      <c r="AA54" s="302"/>
      <c r="AB54" s="302"/>
      <c r="AC54" s="302"/>
      <c r="AD54" s="302"/>
      <c r="AE54" s="302"/>
      <c r="AF54" s="302"/>
      <c r="AG54" s="302"/>
      <c r="AH54" s="302"/>
      <c r="AI54" s="302"/>
      <c r="AJ54" s="302"/>
      <c r="AK54" s="302"/>
      <c r="AL54" s="302"/>
      <c r="AM54" s="302"/>
      <c r="AN54" s="4"/>
    </row>
    <row r="55" spans="1:40" ht="15" thickBot="1">
      <c r="A55" s="8"/>
      <c r="B55" s="1697" t="str">
        <f>VLOOKUP("Diagnoseerkennung",Translations!$A:$T,MATCH(Cover!DR19,Translations!A2:P2,0),0)</f>
        <v>Diagnosis ident.:</v>
      </c>
      <c r="C55" s="1697"/>
      <c r="D55" s="1697"/>
      <c r="E55" s="1697"/>
      <c r="F55" s="1698"/>
      <c r="G55" s="1700"/>
      <c r="H55" s="1701"/>
      <c r="I55" s="1701"/>
      <c r="J55" s="1701"/>
      <c r="K55" s="1701"/>
      <c r="L55" s="1702"/>
      <c r="M55" s="302"/>
      <c r="N55" s="302"/>
      <c r="O55" s="302"/>
      <c r="P55" s="302"/>
      <c r="Q55" s="302"/>
      <c r="R55" s="302"/>
      <c r="S55" s="302"/>
      <c r="T55" s="302"/>
      <c r="U55" s="302"/>
      <c r="V55" s="302"/>
      <c r="W55" s="302"/>
      <c r="X55" s="302"/>
      <c r="Y55" s="302"/>
      <c r="Z55" s="302"/>
      <c r="AA55" s="302"/>
      <c r="AB55" s="302"/>
      <c r="AC55" s="302"/>
      <c r="AD55" s="302"/>
      <c r="AE55" s="302"/>
      <c r="AF55" s="302"/>
      <c r="AG55" s="302"/>
      <c r="AH55" s="302"/>
      <c r="AI55" s="302"/>
      <c r="AJ55" s="302"/>
      <c r="AK55" s="302"/>
      <c r="AL55" s="302"/>
      <c r="AM55" s="302"/>
      <c r="AN55" s="4"/>
    </row>
    <row r="56" spans="1:40" ht="6.75" customHeight="1" thickBot="1">
      <c r="A56" s="2"/>
      <c r="B56" s="5"/>
      <c r="C56" s="5"/>
      <c r="D56" s="5"/>
      <c r="E56" s="5"/>
      <c r="F56" s="5"/>
      <c r="G56" s="5"/>
      <c r="H56" s="5"/>
      <c r="I56" s="5"/>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c r="AN56" s="3"/>
    </row>
    <row r="57" spans="1:40" ht="3" customHeight="1" thickBot="1">
      <c r="A57" s="8"/>
      <c r="B57" s="302"/>
      <c r="C57" s="302"/>
      <c r="D57" s="302"/>
      <c r="E57" s="302"/>
      <c r="F57" s="302"/>
      <c r="G57" s="302"/>
      <c r="H57" s="302"/>
      <c r="I57" s="302"/>
      <c r="J57" s="302"/>
      <c r="K57" s="302"/>
      <c r="L57" s="302"/>
      <c r="M57" s="302"/>
      <c r="N57" s="302"/>
      <c r="O57" s="302"/>
      <c r="P57" s="302"/>
      <c r="Q57" s="302"/>
      <c r="R57" s="302"/>
      <c r="S57" s="302"/>
      <c r="T57" s="302"/>
      <c r="U57" s="302"/>
      <c r="V57" s="302"/>
      <c r="W57" s="302"/>
      <c r="X57" s="302"/>
      <c r="Y57" s="302"/>
      <c r="Z57" s="302"/>
      <c r="AA57" s="302"/>
      <c r="AB57" s="302"/>
      <c r="AC57" s="302"/>
      <c r="AD57" s="302"/>
      <c r="AE57" s="302"/>
      <c r="AF57" s="302"/>
      <c r="AG57" s="302"/>
      <c r="AH57" s="302"/>
      <c r="AI57" s="302"/>
      <c r="AJ57" s="302"/>
      <c r="AK57" s="302"/>
      <c r="AL57" s="302"/>
      <c r="AM57" s="302"/>
      <c r="AN57" s="4"/>
    </row>
    <row r="58" spans="1:40" ht="15.75" thickBot="1">
      <c r="A58" s="14"/>
      <c r="B58" s="15"/>
      <c r="C58" s="15"/>
      <c r="D58" s="15"/>
      <c r="E58" s="15"/>
      <c r="F58" s="15"/>
      <c r="G58" s="1740" t="str">
        <f>VLOOKUP("OK",Translations!$A:$T,MATCH(Cover!DR19,Translations!A2:P2,0),0)</f>
        <v>OK (green)</v>
      </c>
      <c r="H58" s="1741"/>
      <c r="I58" s="1741"/>
      <c r="J58" s="1741"/>
      <c r="K58" s="1741"/>
      <c r="L58" s="1742"/>
      <c r="M58" s="1743" t="str">
        <f>VLOOKUP("Bedingt OK",Translations!$A:$T,MATCH(Cover!DR19,Translations!A2:P2,0),0)</f>
        <v>Conditionally OK (yellow)</v>
      </c>
      <c r="N58" s="1744"/>
      <c r="O58" s="1744"/>
      <c r="P58" s="1744"/>
      <c r="Q58" s="1744"/>
      <c r="R58" s="1744"/>
      <c r="S58" s="1744"/>
      <c r="T58" s="1744"/>
      <c r="U58" s="1744"/>
      <c r="V58" s="1744"/>
      <c r="W58" s="1744"/>
      <c r="X58" s="1744"/>
      <c r="Y58" s="1744"/>
      <c r="Z58" s="1744"/>
      <c r="AA58" s="1744"/>
      <c r="AB58" s="1745"/>
      <c r="AC58" s="1746" t="str">
        <f>VLOOKUP("NOK",Translations!$A:$T,MATCH(Cover!DR19,Translations!A2:P2,0),0)</f>
        <v>NOK (red)</v>
      </c>
      <c r="AD58" s="1747"/>
      <c r="AE58" s="1747"/>
      <c r="AF58" s="1747"/>
      <c r="AG58" s="1747"/>
      <c r="AH58" s="1747"/>
      <c r="AI58" s="1747"/>
      <c r="AJ58" s="1747"/>
      <c r="AK58" s="1747"/>
      <c r="AL58" s="1747"/>
      <c r="AM58" s="1747"/>
      <c r="AN58" s="1748"/>
    </row>
    <row r="59" spans="1:40" ht="12.75" customHeight="1">
      <c r="A59" s="316"/>
      <c r="B59" s="1707" t="str">
        <f>VLOOKUP("Maschinen",Translations!$A:$T,MATCH(Cover!DR19,Translations!A2:P2,0),0)</f>
        <v>Machines</v>
      </c>
      <c r="C59" s="1707"/>
      <c r="D59" s="1707"/>
      <c r="E59" s="1707"/>
      <c r="F59" s="1708"/>
      <c r="G59" s="1734" t="str">
        <f>VLOOKUP("grün",Translations!$A:$T,MATCH(Cover!DR19,Translations!A2:P2,0),0)</f>
        <v>Production at production location</v>
      </c>
      <c r="H59" s="1735"/>
      <c r="I59" s="1735"/>
      <c r="J59" s="1735"/>
      <c r="K59" s="1735"/>
      <c r="L59" s="1736"/>
      <c r="M59" s="1714" t="str">
        <f>VLOOKUP("gelb",Translations!$A:$T,MATCH(Cover!DR19,Translations!A2:P2,0),0)</f>
        <v>Production at production location</v>
      </c>
      <c r="N59" s="1715"/>
      <c r="O59" s="1715"/>
      <c r="P59" s="1715"/>
      <c r="Q59" s="1715"/>
      <c r="R59" s="1715"/>
      <c r="S59" s="1715"/>
      <c r="T59" s="1715"/>
      <c r="U59" s="1715"/>
      <c r="V59" s="1715"/>
      <c r="W59" s="1715"/>
      <c r="X59" s="1715"/>
      <c r="Y59" s="1715"/>
      <c r="Z59" s="1715"/>
      <c r="AA59" s="1715"/>
      <c r="AB59" s="1716"/>
      <c r="AC59" s="1714" t="str">
        <f>VLOOKUP("rot",Translations!$A:$T,MATCH(Cover!DR19,Translations!A2:P2,0),0)</f>
        <v>Production not at production location</v>
      </c>
      <c r="AD59" s="1715"/>
      <c r="AE59" s="1715"/>
      <c r="AF59" s="1715"/>
      <c r="AG59" s="1715"/>
      <c r="AH59" s="1715"/>
      <c r="AI59" s="1715"/>
      <c r="AJ59" s="1715"/>
      <c r="AK59" s="1715"/>
      <c r="AL59" s="1715"/>
      <c r="AM59" s="1715"/>
      <c r="AN59" s="1716"/>
    </row>
    <row r="60" spans="1:40" ht="12.75" customHeight="1">
      <c r="A60" s="317"/>
      <c r="B60" s="1709" t="str">
        <f>VLOOKUP("Anlagen",Translations!$A:$T,MATCH(Cover!DR19,Translations!A2:P2,0),0)</f>
        <v>Plant</v>
      </c>
      <c r="C60" s="1709"/>
      <c r="D60" s="1709"/>
      <c r="E60" s="1709"/>
      <c r="F60" s="1710"/>
      <c r="G60" s="1737"/>
      <c r="H60" s="1738"/>
      <c r="I60" s="1738"/>
      <c r="J60" s="1738"/>
      <c r="K60" s="1738"/>
      <c r="L60" s="1739"/>
      <c r="M60" s="1711" t="str">
        <f>VLOOKUP("keine Quali",Translations!$A:$T,MATCH(Cover!DR19,Translations!A2:P2,0),0)</f>
        <v>No quality problems expected in production</v>
      </c>
      <c r="N60" s="1712"/>
      <c r="O60" s="1712"/>
      <c r="P60" s="1712"/>
      <c r="Q60" s="1712"/>
      <c r="R60" s="1712"/>
      <c r="S60" s="1712"/>
      <c r="T60" s="1712"/>
      <c r="U60" s="1712"/>
      <c r="V60" s="1712"/>
      <c r="W60" s="1712"/>
      <c r="X60" s="1712"/>
      <c r="Y60" s="1712"/>
      <c r="Z60" s="1712"/>
      <c r="AA60" s="1712"/>
      <c r="AB60" s="1713"/>
      <c r="AC60" s="1711" t="str">
        <f>VLOOKUP("oder Quali",Translations!$A:$T,MATCH(Cover!DR19,Translations!A2:P2,0),0)</f>
        <v>or quality problems to be expected</v>
      </c>
      <c r="AD60" s="1712"/>
      <c r="AE60" s="1712"/>
      <c r="AF60" s="1712"/>
      <c r="AG60" s="1712"/>
      <c r="AH60" s="1712"/>
      <c r="AI60" s="1712"/>
      <c r="AJ60" s="1712"/>
      <c r="AK60" s="1712"/>
      <c r="AL60" s="1712"/>
      <c r="AM60" s="1712"/>
      <c r="AN60" s="1713"/>
    </row>
    <row r="61" spans="1:40" ht="12.75" customHeight="1">
      <c r="A61" s="317"/>
      <c r="B61" s="1709" t="str">
        <f>VLOOKUP("Vorrichtungen",Translations!$A:$T,MATCH(Cover!DR19,Translations!A2:P2,0),0)</f>
        <v>Equipment</v>
      </c>
      <c r="C61" s="1709"/>
      <c r="D61" s="1709"/>
      <c r="E61" s="1709"/>
      <c r="F61" s="1710"/>
      <c r="G61" s="1731" t="str">
        <f>VLOOKUP("vom Lft. abgenommen",Translations!$A:$T,MATCH(Cover!DR19,Translations!A2:P2,0),0)</f>
        <v>acceptance checked by supplier, capability demonstrated</v>
      </c>
      <c r="H61" s="1732"/>
      <c r="I61" s="1732"/>
      <c r="J61" s="1732"/>
      <c r="K61" s="1732"/>
      <c r="L61" s="1733"/>
      <c r="M61" s="1711"/>
      <c r="N61" s="1712"/>
      <c r="O61" s="1712"/>
      <c r="P61" s="1712"/>
      <c r="Q61" s="1712"/>
      <c r="R61" s="1712"/>
      <c r="S61" s="1712"/>
      <c r="T61" s="1712"/>
      <c r="U61" s="1712"/>
      <c r="V61" s="1712"/>
      <c r="W61" s="1712"/>
      <c r="X61" s="1712"/>
      <c r="Y61" s="1712"/>
      <c r="Z61" s="1712"/>
      <c r="AA61" s="1712"/>
      <c r="AB61" s="1713"/>
      <c r="AC61" s="1711"/>
      <c r="AD61" s="1712"/>
      <c r="AE61" s="1712"/>
      <c r="AF61" s="1712"/>
      <c r="AG61" s="1712"/>
      <c r="AH61" s="1712"/>
      <c r="AI61" s="1712"/>
      <c r="AJ61" s="1712"/>
      <c r="AK61" s="1712"/>
      <c r="AL61" s="1712"/>
      <c r="AM61" s="1712"/>
      <c r="AN61" s="1713"/>
    </row>
    <row r="62" spans="1:40" ht="12.75" customHeight="1">
      <c r="A62" s="317"/>
      <c r="G62" s="1731"/>
      <c r="H62" s="1732"/>
      <c r="I62" s="1732"/>
      <c r="J62" s="1732"/>
      <c r="K62" s="1732"/>
      <c r="L62" s="1733"/>
      <c r="M62" s="1711"/>
      <c r="N62" s="1712"/>
      <c r="O62" s="1712"/>
      <c r="P62" s="1712"/>
      <c r="Q62" s="1712"/>
      <c r="R62" s="1712"/>
      <c r="S62" s="1712"/>
      <c r="T62" s="1712"/>
      <c r="U62" s="1712"/>
      <c r="V62" s="1712"/>
      <c r="W62" s="1712"/>
      <c r="X62" s="1712"/>
      <c r="Y62" s="1712"/>
      <c r="Z62" s="1712"/>
      <c r="AA62" s="1712"/>
      <c r="AB62" s="1713"/>
      <c r="AC62" s="1711"/>
      <c r="AD62" s="1712"/>
      <c r="AE62" s="1712"/>
      <c r="AF62" s="1712"/>
      <c r="AG62" s="1712"/>
      <c r="AH62" s="1712"/>
      <c r="AI62" s="1712"/>
      <c r="AJ62" s="1712"/>
      <c r="AK62" s="1712"/>
      <c r="AL62" s="1712"/>
      <c r="AM62" s="1712"/>
      <c r="AN62" s="1713"/>
    </row>
    <row r="63" spans="1:40" ht="2.25" customHeight="1" thickBot="1">
      <c r="A63" s="317"/>
      <c r="B63" s="318"/>
      <c r="C63" s="318"/>
      <c r="D63" s="318"/>
      <c r="E63" s="318"/>
      <c r="F63" s="319"/>
      <c r="G63" s="444"/>
      <c r="H63" s="445"/>
      <c r="I63" s="445"/>
      <c r="J63" s="445"/>
      <c r="K63" s="445"/>
      <c r="L63" s="446"/>
      <c r="M63" s="1711"/>
      <c r="N63" s="1712"/>
      <c r="O63" s="1712"/>
      <c r="P63" s="1712"/>
      <c r="Q63" s="1712"/>
      <c r="R63" s="1712"/>
      <c r="S63" s="1712"/>
      <c r="T63" s="1712"/>
      <c r="U63" s="1712"/>
      <c r="V63" s="1712"/>
      <c r="W63" s="1712"/>
      <c r="X63" s="1712"/>
      <c r="Y63" s="1712"/>
      <c r="Z63" s="1712"/>
      <c r="AA63" s="1712"/>
      <c r="AB63" s="1713"/>
      <c r="AC63" s="1711"/>
      <c r="AD63" s="1712"/>
      <c r="AE63" s="1712"/>
      <c r="AF63" s="1712"/>
      <c r="AG63" s="1712"/>
      <c r="AH63" s="1712"/>
      <c r="AI63" s="1712"/>
      <c r="AJ63" s="1712"/>
      <c r="AK63" s="1712"/>
      <c r="AL63" s="1712"/>
      <c r="AM63" s="1712"/>
      <c r="AN63" s="1713"/>
    </row>
    <row r="64" spans="1:40" ht="16.5" customHeight="1" thickBot="1">
      <c r="A64" s="317"/>
      <c r="B64" s="318"/>
      <c r="C64" s="318"/>
      <c r="D64" s="318"/>
      <c r="E64" s="318"/>
      <c r="F64" s="319"/>
      <c r="G64" s="364"/>
      <c r="H64" s="365"/>
      <c r="I64" s="499"/>
      <c r="J64" s="365"/>
      <c r="K64" s="365"/>
      <c r="L64" s="366"/>
      <c r="M64" s="311"/>
      <c r="N64" s="303"/>
      <c r="O64" s="303"/>
      <c r="P64" s="303"/>
      <c r="Q64" s="303"/>
      <c r="R64" s="303"/>
      <c r="S64" s="303"/>
      <c r="T64" s="303"/>
      <c r="U64" s="303"/>
      <c r="V64" s="498"/>
      <c r="W64" s="303"/>
      <c r="X64" s="303"/>
      <c r="Y64" s="303"/>
      <c r="Z64" s="303"/>
      <c r="AA64" s="303"/>
      <c r="AB64" s="312"/>
      <c r="AC64" s="311"/>
      <c r="AD64" s="303"/>
      <c r="AE64" s="303"/>
      <c r="AF64" s="303"/>
      <c r="AG64" s="303"/>
      <c r="AH64" s="498"/>
      <c r="AI64" s="303"/>
      <c r="AJ64" s="303"/>
      <c r="AK64" s="303"/>
      <c r="AL64" s="303"/>
      <c r="AM64" s="303"/>
      <c r="AN64" s="312"/>
    </row>
    <row r="65" spans="1:40" ht="3.75" customHeight="1" thickBot="1">
      <c r="A65" s="320"/>
      <c r="B65" s="321"/>
      <c r="C65" s="321"/>
      <c r="D65" s="321"/>
      <c r="E65" s="321"/>
      <c r="F65" s="322"/>
      <c r="G65" s="305"/>
      <c r="H65" s="306"/>
      <c r="I65" s="306"/>
      <c r="J65" s="306"/>
      <c r="K65" s="306"/>
      <c r="L65" s="307"/>
      <c r="M65" s="311"/>
      <c r="N65" s="303"/>
      <c r="O65" s="452"/>
      <c r="P65" s="452"/>
      <c r="Q65" s="452"/>
      <c r="R65" s="452"/>
      <c r="S65" s="452"/>
      <c r="T65" s="452"/>
      <c r="U65" s="452"/>
      <c r="V65" s="452"/>
      <c r="W65" s="452"/>
      <c r="X65" s="452"/>
      <c r="Y65" s="452"/>
      <c r="Z65" s="452"/>
      <c r="AA65" s="452"/>
      <c r="AB65" s="453"/>
      <c r="AC65" s="313"/>
      <c r="AD65" s="314"/>
      <c r="AE65" s="314"/>
      <c r="AF65" s="314"/>
      <c r="AG65" s="314"/>
      <c r="AH65" s="314"/>
      <c r="AI65" s="314"/>
      <c r="AJ65" s="314"/>
      <c r="AK65" s="314"/>
      <c r="AL65" s="314"/>
      <c r="AM65" s="314"/>
      <c r="AN65" s="315"/>
    </row>
    <row r="66" spans="1:40" ht="12.75" customHeight="1">
      <c r="A66" s="323"/>
      <c r="B66" s="1704" t="str">
        <f>VLOOKUP("Tools",Translations!$A:$T,MATCH(Cover!DR19,Translations!A2:P2,0),0)</f>
        <v>Tools</v>
      </c>
      <c r="C66" s="1704"/>
      <c r="D66" s="1704"/>
      <c r="E66" s="1704"/>
      <c r="F66" s="1705"/>
      <c r="G66" s="1734" t="str">
        <f>VLOOKUP("grün1",Translations!$A:$T,MATCH(Cover!DR19,Translations!A2:P2,0),0)</f>
        <v>Production tool</v>
      </c>
      <c r="H66" s="1735"/>
      <c r="I66" s="1735"/>
      <c r="J66" s="1735"/>
      <c r="K66" s="1735"/>
      <c r="L66" s="1736"/>
      <c r="M66" s="1714" t="str">
        <f>VLOOKUP("grün1",Translations!$A:$T,MATCH(Cover!DR19,Translations!A2:P2,0),0)</f>
        <v>Production tool</v>
      </c>
      <c r="N66" s="1715"/>
      <c r="O66" s="1715"/>
      <c r="P66" s="1715"/>
      <c r="Q66" s="1715"/>
      <c r="R66" s="1715"/>
      <c r="S66" s="1715"/>
      <c r="T66" s="1715"/>
      <c r="U66" s="1715"/>
      <c r="V66" s="1715"/>
      <c r="W66" s="1715"/>
      <c r="X66" s="1715"/>
      <c r="Y66" s="1715"/>
      <c r="Z66" s="1715"/>
      <c r="AA66" s="1715"/>
      <c r="AB66" s="1716"/>
      <c r="AC66" s="1754" t="str">
        <f>VLOOKUP("rot1",Translations!$A:$T,MATCH(Cover!DR19,Translations!A2:P2,0),0)</f>
        <v>No production tool</v>
      </c>
      <c r="AD66" s="1755"/>
      <c r="AE66" s="1755"/>
      <c r="AF66" s="1755"/>
      <c r="AG66" s="1755"/>
      <c r="AH66" s="1755"/>
      <c r="AI66" s="1755"/>
      <c r="AJ66" s="1755"/>
      <c r="AK66" s="1755"/>
      <c r="AL66" s="1755"/>
      <c r="AM66" s="1755"/>
      <c r="AN66" s="1756"/>
    </row>
    <row r="67" spans="1:40" ht="13.5" customHeight="1" thickBot="1">
      <c r="A67" s="8"/>
      <c r="B67" s="302"/>
      <c r="C67" s="302"/>
      <c r="D67" s="302"/>
      <c r="E67" s="302"/>
      <c r="F67" s="4"/>
      <c r="G67" s="1731" t="str">
        <f>VLOOKUP("released",Translations!$A:$T,MATCH(Cover!DR19,Translations!A2:P2,0),0)</f>
        <v>released</v>
      </c>
      <c r="H67" s="1732"/>
      <c r="I67" s="1732"/>
      <c r="J67" s="1732"/>
      <c r="K67" s="1732"/>
      <c r="L67" s="1733"/>
      <c r="M67" s="1711" t="str">
        <f>VLOOKUP("optimiert",Translations!$A:$T,MATCH(Cover!DR19,Translations!A2:P2,0),0)</f>
        <v>improvement</v>
      </c>
      <c r="N67" s="1712"/>
      <c r="O67" s="1712"/>
      <c r="P67" s="1712"/>
      <c r="Q67" s="1712"/>
      <c r="R67" s="1712"/>
      <c r="S67" s="1712"/>
      <c r="T67" s="1712"/>
      <c r="U67" s="1712"/>
      <c r="V67" s="1712"/>
      <c r="W67" s="1712"/>
      <c r="X67" s="1712"/>
      <c r="Y67" s="1712"/>
      <c r="Z67" s="1712"/>
      <c r="AA67" s="1712"/>
      <c r="AB67" s="1713"/>
      <c r="AC67" s="1757"/>
      <c r="AD67" s="1758"/>
      <c r="AE67" s="1758"/>
      <c r="AF67" s="1758"/>
      <c r="AG67" s="1758"/>
      <c r="AH67" s="1758"/>
      <c r="AI67" s="1758"/>
      <c r="AJ67" s="1758"/>
      <c r="AK67" s="1758"/>
      <c r="AL67" s="1758"/>
      <c r="AM67" s="1758"/>
      <c r="AN67" s="1759"/>
    </row>
    <row r="68" spans="1:40" ht="16.5" customHeight="1" thickBot="1">
      <c r="A68" s="8"/>
      <c r="B68" s="302"/>
      <c r="C68" s="302"/>
      <c r="D68" s="302"/>
      <c r="E68" s="302"/>
      <c r="F68" s="4"/>
      <c r="G68" s="364"/>
      <c r="H68" s="365"/>
      <c r="I68" s="499"/>
      <c r="J68" s="365"/>
      <c r="K68" s="365"/>
      <c r="L68" s="366"/>
      <c r="M68" s="368"/>
      <c r="N68" s="369"/>
      <c r="O68" s="369"/>
      <c r="P68" s="369"/>
      <c r="Q68" s="369"/>
      <c r="R68" s="369"/>
      <c r="S68" s="369"/>
      <c r="T68" s="369"/>
      <c r="U68" s="369"/>
      <c r="V68" s="498"/>
      <c r="W68" s="369"/>
      <c r="X68" s="369"/>
      <c r="Y68" s="369"/>
      <c r="Z68" s="369"/>
      <c r="AA68" s="369"/>
      <c r="AB68" s="370"/>
      <c r="AC68" s="368"/>
      <c r="AD68" s="369"/>
      <c r="AE68" s="369"/>
      <c r="AF68" s="369"/>
      <c r="AG68" s="369"/>
      <c r="AH68" s="498"/>
      <c r="AI68" s="369"/>
      <c r="AJ68" s="369"/>
      <c r="AK68" s="369"/>
      <c r="AL68" s="369"/>
      <c r="AM68" s="369"/>
      <c r="AN68" s="370"/>
    </row>
    <row r="69" spans="1:40" ht="3.75" customHeight="1" thickBot="1">
      <c r="A69" s="8"/>
      <c r="B69" s="302"/>
      <c r="C69" s="302"/>
      <c r="D69" s="302"/>
      <c r="E69" s="302"/>
      <c r="F69" s="4"/>
      <c r="G69" s="364"/>
      <c r="H69" s="365"/>
      <c r="I69" s="31"/>
      <c r="J69" s="365"/>
      <c r="K69" s="365"/>
      <c r="L69" s="366"/>
      <c r="M69" s="311"/>
      <c r="N69" s="303"/>
      <c r="O69" s="303"/>
      <c r="P69" s="303"/>
      <c r="Q69" s="303"/>
      <c r="R69" s="303"/>
      <c r="S69" s="303"/>
      <c r="T69" s="303"/>
      <c r="U69" s="303"/>
      <c r="V69" s="31"/>
      <c r="W69" s="303"/>
      <c r="X69" s="303"/>
      <c r="Y69" s="303"/>
      <c r="Z69" s="303"/>
      <c r="AA69" s="303"/>
      <c r="AB69" s="312"/>
      <c r="AC69" s="311"/>
      <c r="AD69" s="303"/>
      <c r="AE69" s="303"/>
      <c r="AF69" s="303"/>
      <c r="AG69" s="303"/>
      <c r="AH69" s="31"/>
      <c r="AI69" s="303"/>
      <c r="AJ69" s="303"/>
      <c r="AK69" s="303"/>
      <c r="AL69" s="303"/>
      <c r="AM69" s="303"/>
      <c r="AN69" s="312"/>
    </row>
    <row r="70" spans="1:40" ht="4.5" hidden="1" customHeight="1" thickBot="1">
      <c r="A70" s="2"/>
      <c r="B70" s="5"/>
      <c r="C70" s="5"/>
      <c r="D70" s="5"/>
      <c r="E70" s="5"/>
      <c r="F70" s="3"/>
      <c r="G70" s="313"/>
      <c r="H70" s="314"/>
      <c r="I70" s="314"/>
      <c r="J70" s="314"/>
      <c r="K70" s="314"/>
      <c r="L70" s="315"/>
      <c r="M70" s="313"/>
      <c r="N70" s="314"/>
      <c r="O70" s="314"/>
      <c r="P70" s="314"/>
      <c r="Q70" s="314"/>
      <c r="R70" s="314"/>
      <c r="S70" s="314"/>
      <c r="T70" s="314"/>
      <c r="U70" s="314"/>
      <c r="V70" s="314"/>
      <c r="W70" s="314"/>
      <c r="X70" s="314"/>
      <c r="Y70" s="314"/>
      <c r="Z70" s="314"/>
      <c r="AA70" s="314"/>
      <c r="AB70" s="315"/>
      <c r="AC70" s="313"/>
      <c r="AD70" s="314"/>
      <c r="AE70" s="314"/>
      <c r="AF70" s="314"/>
      <c r="AG70" s="314"/>
      <c r="AH70" s="314"/>
      <c r="AI70" s="314"/>
      <c r="AJ70" s="314"/>
      <c r="AK70" s="314"/>
      <c r="AL70" s="314"/>
      <c r="AM70" s="314"/>
      <c r="AN70" s="315"/>
    </row>
    <row r="71" spans="1:40" ht="15" customHeight="1">
      <c r="A71" s="7"/>
      <c r="B71" s="1704" t="str">
        <f>VLOOKUP("Verbindung",Translations!$A:$T,MATCH(Cover!DR19,Translations!A2:P2,0),0)</f>
        <v>Chaining /</v>
      </c>
      <c r="C71" s="1704"/>
      <c r="D71" s="1704"/>
      <c r="E71" s="1704"/>
      <c r="F71" s="1705"/>
      <c r="G71" s="1754" t="str">
        <f>VLOOKUP("grün2",Translations!$A:$T,MATCH(Cover!DR19,Translations!A2:P2,0),0)</f>
        <v>Series</v>
      </c>
      <c r="H71" s="1755"/>
      <c r="I71" s="1755"/>
      <c r="J71" s="1755"/>
      <c r="K71" s="1755"/>
      <c r="L71" s="1756"/>
      <c r="M71" s="1754" t="str">
        <f>VLOOKUP("gelb2",Translations!$A:$T,MATCH(Cover!DR19,Translations!A2:P2,0),0)</f>
        <v>No series</v>
      </c>
      <c r="N71" s="1755"/>
      <c r="O71" s="1755"/>
      <c r="P71" s="1755"/>
      <c r="Q71" s="1755"/>
      <c r="R71" s="1755"/>
      <c r="S71" s="1755"/>
      <c r="T71" s="1755"/>
      <c r="U71" s="1755"/>
      <c r="V71" s="1755"/>
      <c r="W71" s="1755"/>
      <c r="X71" s="1755"/>
      <c r="Y71" s="1755"/>
      <c r="Z71" s="1755"/>
      <c r="AA71" s="1755"/>
      <c r="AB71" s="1756"/>
      <c r="AC71" s="1754" t="str">
        <f>VLOOKUP("rot2",Translations!$A:$T,MATCH(Cover!DR19,Translations!A2:P2,0),0)</f>
        <v>Quality deficiencies to be expected</v>
      </c>
      <c r="AD71" s="1755"/>
      <c r="AE71" s="1755"/>
      <c r="AF71" s="1755"/>
      <c r="AG71" s="1755"/>
      <c r="AH71" s="1755"/>
      <c r="AI71" s="1755"/>
      <c r="AJ71" s="1755"/>
      <c r="AK71" s="1755"/>
      <c r="AL71" s="1755"/>
      <c r="AM71" s="1755"/>
      <c r="AN71" s="1756"/>
    </row>
    <row r="72" spans="1:40" ht="18" customHeight="1" thickBot="1">
      <c r="A72" s="8"/>
      <c r="B72" s="1706" t="str">
        <f>VLOOKUP("Logistik",Translations!$A:$T,MATCH(Cover!DR19,Translations!A2:P2,0),0)</f>
        <v>Logistics</v>
      </c>
      <c r="C72" s="1706"/>
      <c r="D72" s="1706"/>
      <c r="E72" s="1706"/>
      <c r="F72" s="1706"/>
      <c r="G72" s="1757"/>
      <c r="H72" s="1758"/>
      <c r="I72" s="1758"/>
      <c r="J72" s="1758"/>
      <c r="K72" s="1758"/>
      <c r="L72" s="1759"/>
      <c r="M72" s="1769" t="str">
        <f>VLOOKUP("aber keine Quali",Translations!$A:$T,MATCH(Cover!DR19,Translations!A2:P2,0),0)</f>
        <v>But no quality deficiencies expected</v>
      </c>
      <c r="N72" s="1770"/>
      <c r="O72" s="1770"/>
      <c r="P72" s="1770"/>
      <c r="Q72" s="1770"/>
      <c r="R72" s="1770"/>
      <c r="S72" s="1770"/>
      <c r="T72" s="1770"/>
      <c r="U72" s="1770"/>
      <c r="V72" s="1770"/>
      <c r="W72" s="1770"/>
      <c r="X72" s="1770"/>
      <c r="Y72" s="1770"/>
      <c r="Z72" s="1770"/>
      <c r="AA72" s="1770"/>
      <c r="AB72" s="1770"/>
      <c r="AC72" s="1757"/>
      <c r="AD72" s="1758"/>
      <c r="AE72" s="1758"/>
      <c r="AF72" s="1758"/>
      <c r="AG72" s="1758"/>
      <c r="AH72" s="1758"/>
      <c r="AI72" s="1758"/>
      <c r="AJ72" s="1758"/>
      <c r="AK72" s="1758"/>
      <c r="AL72" s="1758"/>
      <c r="AM72" s="1758"/>
      <c r="AN72" s="1759"/>
    </row>
    <row r="73" spans="1:40" ht="16.5" customHeight="1" thickBot="1">
      <c r="A73" s="8"/>
      <c r="G73" s="368"/>
      <c r="H73" s="369"/>
      <c r="I73" s="498"/>
      <c r="J73" s="500"/>
      <c r="K73" s="500"/>
      <c r="L73" s="501"/>
      <c r="M73" s="502"/>
      <c r="N73" s="500"/>
      <c r="O73" s="500"/>
      <c r="P73" s="500"/>
      <c r="Q73" s="500"/>
      <c r="R73" s="500"/>
      <c r="S73" s="500"/>
      <c r="T73" s="500"/>
      <c r="U73" s="500"/>
      <c r="V73" s="498"/>
      <c r="W73" s="500"/>
      <c r="X73" s="500"/>
      <c r="Y73" s="500"/>
      <c r="Z73" s="500"/>
      <c r="AA73" s="500"/>
      <c r="AB73" s="501"/>
      <c r="AC73" s="502"/>
      <c r="AD73" s="500"/>
      <c r="AE73" s="500"/>
      <c r="AF73" s="500"/>
      <c r="AG73" s="500"/>
      <c r="AH73" s="498"/>
      <c r="AI73" s="369"/>
      <c r="AJ73" s="369"/>
      <c r="AK73" s="369"/>
      <c r="AL73" s="369"/>
      <c r="AM73" s="369"/>
      <c r="AN73" s="370"/>
    </row>
    <row r="74" spans="1:40" ht="3.75" customHeight="1" thickBot="1">
      <c r="A74" s="8"/>
      <c r="B74" s="302"/>
      <c r="C74" s="302"/>
      <c r="D74" s="302"/>
      <c r="E74" s="302"/>
      <c r="F74" s="4"/>
      <c r="G74" s="311"/>
      <c r="H74" s="303"/>
      <c r="I74" s="31"/>
      <c r="J74" s="303"/>
      <c r="K74" s="303"/>
      <c r="L74" s="312"/>
      <c r="M74" s="311"/>
      <c r="N74" s="303"/>
      <c r="O74" s="303"/>
      <c r="P74" s="303"/>
      <c r="Q74" s="303"/>
      <c r="R74" s="303"/>
      <c r="S74" s="303"/>
      <c r="T74" s="303"/>
      <c r="U74" s="303"/>
      <c r="V74" s="31"/>
      <c r="W74" s="303"/>
      <c r="X74" s="303"/>
      <c r="Y74" s="303"/>
      <c r="Z74" s="303"/>
      <c r="AA74" s="303"/>
      <c r="AB74" s="312"/>
      <c r="AC74" s="311"/>
      <c r="AD74" s="303"/>
      <c r="AE74" s="303"/>
      <c r="AF74" s="303"/>
      <c r="AG74" s="303"/>
      <c r="AH74" s="31"/>
      <c r="AI74" s="303"/>
      <c r="AJ74" s="303"/>
      <c r="AK74" s="303"/>
      <c r="AL74" s="303"/>
      <c r="AM74" s="303"/>
      <c r="AN74" s="312"/>
    </row>
    <row r="75" spans="1:40" ht="4.5" hidden="1" customHeight="1" thickBot="1">
      <c r="A75" s="2"/>
      <c r="B75" s="5"/>
      <c r="C75" s="5"/>
      <c r="D75" s="5"/>
      <c r="E75" s="5"/>
      <c r="F75" s="3"/>
      <c r="G75" s="313"/>
      <c r="H75" s="314"/>
      <c r="I75" s="314"/>
      <c r="J75" s="314"/>
      <c r="K75" s="314"/>
      <c r="L75" s="315"/>
      <c r="M75" s="313"/>
      <c r="N75" s="314"/>
      <c r="O75" s="314"/>
      <c r="P75" s="314"/>
      <c r="Q75" s="314"/>
      <c r="R75" s="314"/>
      <c r="S75" s="314"/>
      <c r="T75" s="314"/>
      <c r="U75" s="314"/>
      <c r="V75" s="314"/>
      <c r="W75" s="314"/>
      <c r="X75" s="314"/>
      <c r="Y75" s="314"/>
      <c r="Z75" s="314"/>
      <c r="AA75" s="314"/>
      <c r="AB75" s="315"/>
      <c r="AC75" s="313"/>
      <c r="AD75" s="314"/>
      <c r="AE75" s="314"/>
      <c r="AF75" s="314"/>
      <c r="AG75" s="314"/>
      <c r="AH75" s="314"/>
      <c r="AI75" s="314"/>
      <c r="AJ75" s="314"/>
      <c r="AK75" s="314"/>
      <c r="AL75" s="314"/>
      <c r="AM75" s="314"/>
      <c r="AN75" s="315"/>
    </row>
    <row r="76" spans="1:40" ht="12.75" customHeight="1">
      <c r="A76" s="7"/>
      <c r="B76" s="1704" t="str">
        <f>VLOOKUP("Durchlaufzeit",Translations!$A:$T,MATCH(Cover!DR19,Translations!A2:P2,0),0)</f>
        <v>Cycle time</v>
      </c>
      <c r="C76" s="1704"/>
      <c r="D76" s="1704"/>
      <c r="E76" s="1704"/>
      <c r="F76" s="1705"/>
      <c r="G76" s="1714" t="str">
        <f>VLOOKUP("grün3",Translations!$A:$T,MATCH(Cover!DR19,Translations!A2:P2,0),0)</f>
        <v>Production cycle time</v>
      </c>
      <c r="H76" s="1715"/>
      <c r="I76" s="1715"/>
      <c r="J76" s="1715"/>
      <c r="K76" s="1715"/>
      <c r="L76" s="1716"/>
      <c r="M76" s="1714" t="str">
        <f>VLOOKUP("grün3",Translations!$A:$T,MATCH(Cover!DR19,Translations!A2:P2,0),0)</f>
        <v>Production cycle time</v>
      </c>
      <c r="N76" s="1715"/>
      <c r="O76" s="1715"/>
      <c r="P76" s="1715"/>
      <c r="Q76" s="1715"/>
      <c r="R76" s="1715"/>
      <c r="S76" s="1715"/>
      <c r="T76" s="1715"/>
      <c r="U76" s="1715"/>
      <c r="V76" s="1715"/>
      <c r="W76" s="1715"/>
      <c r="X76" s="1715"/>
      <c r="Y76" s="1715"/>
      <c r="Z76" s="1715"/>
      <c r="AA76" s="1715"/>
      <c r="AB76" s="1716"/>
      <c r="AC76" s="1714" t="str">
        <f>VLOOKUP("grün3",Translations!$A:$T,MATCH(Cover!DR19,Translations!A2:P2,0),0)</f>
        <v>Production cycle time</v>
      </c>
      <c r="AD76" s="1715"/>
      <c r="AE76" s="1715"/>
      <c r="AF76" s="1715"/>
      <c r="AG76" s="1715"/>
      <c r="AH76" s="1715"/>
      <c r="AI76" s="1715"/>
      <c r="AJ76" s="1715"/>
      <c r="AK76" s="1715"/>
      <c r="AL76" s="1715"/>
      <c r="AM76" s="1715"/>
      <c r="AN76" s="1716"/>
    </row>
    <row r="77" spans="1:40">
      <c r="A77" s="8"/>
      <c r="B77" s="1706" t="str">
        <f>VLOOKUP("Menge",Translations!$A:$T,MATCH(Cover!DR19,Translations!A2:P2,0),0)</f>
        <v>Quantity</v>
      </c>
      <c r="C77" s="1706"/>
      <c r="D77" s="1706"/>
      <c r="E77" s="1706"/>
      <c r="F77" s="1753"/>
      <c r="G77" s="1711" t="str">
        <f>VLOOKUP("no special actions",Translations!$A:$T,MATCH(Cover!DR19,Translations!A2:P2,0),0)</f>
        <v>No special actions</v>
      </c>
      <c r="H77" s="1712"/>
      <c r="I77" s="1712"/>
      <c r="J77" s="1712"/>
      <c r="K77" s="1712"/>
      <c r="L77" s="1713"/>
      <c r="M77" s="1711" t="str">
        <f>VLOOKUP("gelb3",Translations!$A:$T,MATCH(Cover!DR19,Translations!A2:P2,0),0)</f>
        <v>Permanantly achievable with special actions</v>
      </c>
      <c r="N77" s="1712"/>
      <c r="O77" s="1712"/>
      <c r="P77" s="1712"/>
      <c r="Q77" s="1712"/>
      <c r="R77" s="1712"/>
      <c r="S77" s="1712"/>
      <c r="T77" s="1712"/>
      <c r="U77" s="1712"/>
      <c r="V77" s="1712"/>
      <c r="W77" s="1712"/>
      <c r="X77" s="1712"/>
      <c r="Y77" s="1712"/>
      <c r="Z77" s="1712"/>
      <c r="AA77" s="1712"/>
      <c r="AB77" s="1713"/>
      <c r="AC77" s="1711" t="str">
        <f>VLOOKUP("rot3",Translations!$A:$T,MATCH(Cover!DR19,Translations!A2:P2,0),0)</f>
        <v>Not achievable with special actions</v>
      </c>
      <c r="AD77" s="1712"/>
      <c r="AE77" s="1712"/>
      <c r="AF77" s="1712"/>
      <c r="AG77" s="1712"/>
      <c r="AH77" s="1712"/>
      <c r="AI77" s="1712"/>
      <c r="AJ77" s="1712"/>
      <c r="AK77" s="1712"/>
      <c r="AL77" s="1712"/>
      <c r="AM77" s="1712"/>
      <c r="AN77" s="1713"/>
    </row>
    <row r="78" spans="1:40" ht="7.5" customHeight="1" thickBot="1">
      <c r="A78" s="8"/>
      <c r="B78" s="302"/>
      <c r="C78" s="302"/>
      <c r="D78" s="302"/>
      <c r="E78" s="302"/>
      <c r="F78" s="4"/>
      <c r="G78" s="336"/>
      <c r="H78" s="337"/>
      <c r="I78" s="337"/>
      <c r="J78" s="337"/>
      <c r="K78" s="337"/>
      <c r="L78" s="338"/>
      <c r="M78" s="1711"/>
      <c r="N78" s="1712"/>
      <c r="O78" s="1712"/>
      <c r="P78" s="1712"/>
      <c r="Q78" s="1712"/>
      <c r="R78" s="1712"/>
      <c r="S78" s="1712"/>
      <c r="T78" s="1712"/>
      <c r="U78" s="1712"/>
      <c r="V78" s="1712"/>
      <c r="W78" s="1712"/>
      <c r="X78" s="1712"/>
      <c r="Y78" s="1712"/>
      <c r="Z78" s="1712"/>
      <c r="AA78" s="1712"/>
      <c r="AB78" s="1713"/>
      <c r="AC78" s="1711"/>
      <c r="AD78" s="1712"/>
      <c r="AE78" s="1712"/>
      <c r="AF78" s="1712"/>
      <c r="AG78" s="1712"/>
      <c r="AH78" s="1712"/>
      <c r="AI78" s="1712"/>
      <c r="AJ78" s="1712"/>
      <c r="AK78" s="1712"/>
      <c r="AL78" s="1712"/>
      <c r="AM78" s="1712"/>
      <c r="AN78" s="1713"/>
    </row>
    <row r="79" spans="1:40" ht="16.5" customHeight="1" thickBot="1">
      <c r="A79" s="8"/>
      <c r="B79" s="302"/>
      <c r="C79" s="302"/>
      <c r="D79" s="302"/>
      <c r="E79" s="302"/>
      <c r="F79" s="4"/>
      <c r="G79" s="311"/>
      <c r="H79" s="303"/>
      <c r="I79" s="498"/>
      <c r="J79" s="503"/>
      <c r="K79" s="503"/>
      <c r="L79" s="504"/>
      <c r="M79" s="505"/>
      <c r="N79" s="503"/>
      <c r="O79" s="503"/>
      <c r="P79" s="503"/>
      <c r="Q79" s="503"/>
      <c r="R79" s="503"/>
      <c r="S79" s="503"/>
      <c r="T79" s="503"/>
      <c r="U79" s="503"/>
      <c r="V79" s="498"/>
      <c r="W79" s="503"/>
      <c r="X79" s="503"/>
      <c r="Y79" s="503"/>
      <c r="Z79" s="503"/>
      <c r="AA79" s="503"/>
      <c r="AB79" s="504"/>
      <c r="AC79" s="505"/>
      <c r="AD79" s="503"/>
      <c r="AE79" s="503"/>
      <c r="AF79" s="503"/>
      <c r="AG79" s="503"/>
      <c r="AH79" s="498"/>
      <c r="AI79" s="303"/>
      <c r="AJ79" s="303"/>
      <c r="AK79" s="303"/>
      <c r="AL79" s="303"/>
      <c r="AM79" s="303"/>
      <c r="AN79" s="312"/>
    </row>
    <row r="80" spans="1:40" ht="3.75" customHeight="1" thickBot="1">
      <c r="A80" s="8"/>
      <c r="B80" s="302"/>
      <c r="C80" s="302"/>
      <c r="D80" s="302"/>
      <c r="E80" s="302"/>
      <c r="F80" s="4"/>
      <c r="G80" s="313"/>
      <c r="H80" s="314"/>
      <c r="I80" s="314"/>
      <c r="J80" s="314"/>
      <c r="K80" s="314"/>
      <c r="L80" s="315"/>
      <c r="M80" s="313"/>
      <c r="N80" s="314"/>
      <c r="O80" s="314"/>
      <c r="P80" s="314"/>
      <c r="Q80" s="314"/>
      <c r="R80" s="314"/>
      <c r="S80" s="314"/>
      <c r="T80" s="314"/>
      <c r="U80" s="314"/>
      <c r="V80" s="314"/>
      <c r="W80" s="314"/>
      <c r="X80" s="314"/>
      <c r="Y80" s="314"/>
      <c r="Z80" s="314"/>
      <c r="AA80" s="314"/>
      <c r="AB80" s="315"/>
      <c r="AC80" s="313"/>
      <c r="AD80" s="314"/>
      <c r="AE80" s="314"/>
      <c r="AF80" s="314"/>
      <c r="AG80" s="314"/>
      <c r="AH80" s="314"/>
      <c r="AI80" s="314"/>
      <c r="AJ80" s="314"/>
      <c r="AK80" s="314"/>
      <c r="AL80" s="314"/>
      <c r="AM80" s="314"/>
      <c r="AN80" s="315"/>
    </row>
    <row r="81" spans="1:40" ht="12.75" customHeight="1">
      <c r="A81" s="8"/>
      <c r="B81" s="302"/>
      <c r="C81" s="302"/>
      <c r="D81" s="302"/>
      <c r="E81" s="302"/>
      <c r="F81" s="4"/>
      <c r="G81" s="1714" t="str">
        <f>VLOOKUP("grün4",Translations!$A:$T,MATCH(Cover!DR19,Translations!A2:P2,0),0)</f>
        <v>All production tools / cavities</v>
      </c>
      <c r="H81" s="1715"/>
      <c r="I81" s="1715"/>
      <c r="J81" s="1715"/>
      <c r="K81" s="1715"/>
      <c r="L81" s="1716"/>
      <c r="M81" s="1714" t="str">
        <f>VLOOKUP("gelb4",Translations!$A:$T,MATCH(Cover!DR19,Translations!A2:P2,0),0)</f>
        <v>At least one set of series production tool</v>
      </c>
      <c r="N81" s="1715"/>
      <c r="O81" s="1715"/>
      <c r="P81" s="1715"/>
      <c r="Q81" s="1715"/>
      <c r="R81" s="1715"/>
      <c r="S81" s="1715"/>
      <c r="T81" s="1715"/>
      <c r="U81" s="1715"/>
      <c r="V81" s="1715"/>
      <c r="W81" s="1715"/>
      <c r="X81" s="1715"/>
      <c r="Y81" s="1715"/>
      <c r="Z81" s="1715"/>
      <c r="AA81" s="1715"/>
      <c r="AB81" s="1716"/>
      <c r="AC81" s="1714" t="str">
        <f>VLOOKUP("rot4",Translations!$A:$T,MATCH(Cover!DR19,Translations!A2:P2,0),0)</f>
        <v>No production tools</v>
      </c>
      <c r="AD81" s="1715"/>
      <c r="AE81" s="1715"/>
      <c r="AF81" s="1715"/>
      <c r="AG81" s="1715"/>
      <c r="AH81" s="1715"/>
      <c r="AI81" s="1715"/>
      <c r="AJ81" s="1715"/>
      <c r="AK81" s="1715"/>
      <c r="AL81" s="1715"/>
      <c r="AM81" s="1715"/>
      <c r="AN81" s="1716"/>
    </row>
    <row r="82" spans="1:40" ht="12.75" customHeight="1">
      <c r="A82" s="8"/>
      <c r="B82" s="302"/>
      <c r="C82" s="302"/>
      <c r="D82" s="302"/>
      <c r="E82" s="302"/>
      <c r="F82" s="4"/>
      <c r="G82" s="1760"/>
      <c r="H82" s="1761"/>
      <c r="I82" s="1761"/>
      <c r="J82" s="1761"/>
      <c r="K82" s="1761"/>
      <c r="L82" s="1762"/>
      <c r="M82" s="1717" t="str">
        <f>VLOOKUP("released1",Translations!$A:$T,MATCH(Cover!DR19,Translations!A2:P2,0),0)</f>
        <v>aproved</v>
      </c>
      <c r="N82" s="1718"/>
      <c r="O82" s="1718"/>
      <c r="P82" s="1718"/>
      <c r="Q82" s="1718"/>
      <c r="R82" s="1718"/>
      <c r="S82" s="1718"/>
      <c r="T82" s="1718"/>
      <c r="U82" s="1718"/>
      <c r="V82" s="1718"/>
      <c r="W82" s="1718"/>
      <c r="X82" s="1718"/>
      <c r="Y82" s="1718"/>
      <c r="Z82" s="1718"/>
      <c r="AA82" s="1718"/>
      <c r="AB82" s="1719"/>
      <c r="AC82" s="1760"/>
      <c r="AD82" s="1761"/>
      <c r="AE82" s="1761"/>
      <c r="AF82" s="1761"/>
      <c r="AG82" s="1761"/>
      <c r="AH82" s="1761"/>
      <c r="AI82" s="1761"/>
      <c r="AJ82" s="1761"/>
      <c r="AK82" s="1761"/>
      <c r="AL82" s="1761"/>
      <c r="AM82" s="1761"/>
      <c r="AN82" s="1762"/>
    </row>
    <row r="83" spans="1:40" ht="15" customHeight="1" thickBot="1">
      <c r="A83" s="8"/>
      <c r="B83" s="302"/>
      <c r="C83" s="302"/>
      <c r="D83" s="302"/>
      <c r="E83" s="302"/>
      <c r="F83" s="4"/>
      <c r="G83" s="1711" t="str">
        <f>VLOOKUP("checked / released",Translations!$A:$T,MATCH(Cover!DR19,Translations!A2:P2,0),0)</f>
        <v>checked / released</v>
      </c>
      <c r="H83" s="1712"/>
      <c r="I83" s="1712"/>
      <c r="J83" s="1712"/>
      <c r="K83" s="1712"/>
      <c r="L83" s="1713"/>
      <c r="M83" s="336"/>
      <c r="N83" s="337"/>
      <c r="O83" s="337"/>
      <c r="P83" s="337"/>
      <c r="Q83" s="337"/>
      <c r="R83" s="337"/>
      <c r="S83" s="337"/>
      <c r="T83" s="337"/>
      <c r="U83" s="337"/>
      <c r="V83" s="337"/>
      <c r="W83" s="337"/>
      <c r="X83" s="337"/>
      <c r="Y83" s="337"/>
      <c r="Z83" s="337"/>
      <c r="AA83" s="337"/>
      <c r="AB83" s="338"/>
      <c r="AC83" s="1760"/>
      <c r="AD83" s="1761"/>
      <c r="AE83" s="1761"/>
      <c r="AF83" s="1761"/>
      <c r="AG83" s="1761"/>
      <c r="AH83" s="1761"/>
      <c r="AI83" s="1761"/>
      <c r="AJ83" s="1761"/>
      <c r="AK83" s="1761"/>
      <c r="AL83" s="1761"/>
      <c r="AM83" s="1761"/>
      <c r="AN83" s="1762"/>
    </row>
    <row r="84" spans="1:40" ht="16.5" customHeight="1" thickBot="1">
      <c r="A84" s="8"/>
      <c r="B84" s="302"/>
      <c r="C84" s="302"/>
      <c r="D84" s="302"/>
      <c r="E84" s="302"/>
      <c r="F84" s="4"/>
      <c r="G84" s="308"/>
      <c r="H84" s="309"/>
      <c r="I84" s="506"/>
      <c r="J84" s="507"/>
      <c r="K84" s="507"/>
      <c r="L84" s="508"/>
      <c r="M84" s="505"/>
      <c r="N84" s="503"/>
      <c r="O84" s="503"/>
      <c r="P84" s="503"/>
      <c r="Q84" s="503"/>
      <c r="R84" s="503"/>
      <c r="S84" s="503"/>
      <c r="T84" s="503"/>
      <c r="U84" s="503"/>
      <c r="V84" s="498"/>
      <c r="W84" s="503"/>
      <c r="X84" s="503"/>
      <c r="Y84" s="503"/>
      <c r="Z84" s="503"/>
      <c r="AA84" s="503"/>
      <c r="AB84" s="504"/>
      <c r="AC84" s="505"/>
      <c r="AD84" s="503"/>
      <c r="AE84" s="503"/>
      <c r="AF84" s="503"/>
      <c r="AG84" s="503"/>
      <c r="AH84" s="498"/>
      <c r="AI84" s="303"/>
      <c r="AJ84" s="303"/>
      <c r="AK84" s="303"/>
      <c r="AL84" s="303"/>
      <c r="AM84" s="303"/>
      <c r="AN84" s="312"/>
    </row>
    <row r="85" spans="1:40" ht="3.75" customHeight="1" thickBot="1">
      <c r="A85" s="8"/>
      <c r="B85" s="302"/>
      <c r="C85" s="302"/>
      <c r="D85" s="302"/>
      <c r="E85" s="302"/>
      <c r="F85" s="4"/>
      <c r="G85" s="313"/>
      <c r="H85" s="314"/>
      <c r="I85" s="314"/>
      <c r="J85" s="314"/>
      <c r="K85" s="314"/>
      <c r="L85" s="315"/>
      <c r="M85" s="313"/>
      <c r="N85" s="314"/>
      <c r="O85" s="314"/>
      <c r="P85" s="314"/>
      <c r="Q85" s="314"/>
      <c r="R85" s="314"/>
      <c r="S85" s="314"/>
      <c r="T85" s="314"/>
      <c r="U85" s="314"/>
      <c r="V85" s="314"/>
      <c r="W85" s="314"/>
      <c r="X85" s="314"/>
      <c r="Y85" s="314"/>
      <c r="Z85" s="314"/>
      <c r="AA85" s="314"/>
      <c r="AB85" s="315"/>
      <c r="AC85" s="313"/>
      <c r="AD85" s="314"/>
      <c r="AE85" s="314"/>
      <c r="AF85" s="314"/>
      <c r="AG85" s="314"/>
      <c r="AH85" s="314"/>
      <c r="AI85" s="314"/>
      <c r="AJ85" s="314"/>
      <c r="AK85" s="314"/>
      <c r="AL85" s="314"/>
      <c r="AM85" s="314"/>
      <c r="AN85" s="315"/>
    </row>
    <row r="86" spans="1:40" ht="12.75" customHeight="1">
      <c r="A86" s="8"/>
      <c r="B86" s="302"/>
      <c r="C86" s="302"/>
      <c r="D86" s="302"/>
      <c r="E86" s="302"/>
      <c r="F86" s="4"/>
      <c r="G86" s="1714" t="str">
        <f>VLOOKUP("grün5",Translations!$A:$T,MATCH(Cover!DR19,Translations!A2:P2,0),0)</f>
        <v>All production lines</v>
      </c>
      <c r="H86" s="1715"/>
      <c r="I86" s="1715"/>
      <c r="J86" s="1715"/>
      <c r="K86" s="1715"/>
      <c r="L86" s="1716"/>
      <c r="M86" s="1754" t="str">
        <f>VLOOKUP("gelb5",Translations!$A:$T,MATCH(Cover!DR19,Translations!A2:P2,0),0)</f>
        <v>One production line</v>
      </c>
      <c r="N86" s="1755"/>
      <c r="O86" s="1755"/>
      <c r="P86" s="1755"/>
      <c r="Q86" s="1755"/>
      <c r="R86" s="1755"/>
      <c r="S86" s="1755"/>
      <c r="T86" s="1755"/>
      <c r="U86" s="1755"/>
      <c r="V86" s="1755"/>
      <c r="W86" s="1755"/>
      <c r="X86" s="1755"/>
      <c r="Y86" s="1755"/>
      <c r="Z86" s="1755"/>
      <c r="AA86" s="1755"/>
      <c r="AB86" s="1756"/>
      <c r="AC86" s="1714" t="str">
        <f>VLOOKUP("rot5",Translations!$A:$T,MATCH(Cover!DR19,Translations!A2:P2,0),0)</f>
        <v>No production line</v>
      </c>
      <c r="AD86" s="1715"/>
      <c r="AE86" s="1715"/>
      <c r="AF86" s="1715"/>
      <c r="AG86" s="1715"/>
      <c r="AH86" s="1715"/>
      <c r="AI86" s="1715"/>
      <c r="AJ86" s="1715"/>
      <c r="AK86" s="1715"/>
      <c r="AL86" s="1715"/>
      <c r="AM86" s="1715"/>
      <c r="AN86" s="1716"/>
    </row>
    <row r="87" spans="1:40" ht="15.75" customHeight="1" thickBot="1">
      <c r="A87" s="8"/>
      <c r="B87" s="302"/>
      <c r="C87" s="302"/>
      <c r="D87" s="302"/>
      <c r="E87" s="302"/>
      <c r="F87" s="4"/>
      <c r="G87" s="1711" t="str">
        <f>VLOOKUP("checked / released",Translations!$A:$T,MATCH(Cover!DR19,Translations!A2:P2,0),0)</f>
        <v>checked / released</v>
      </c>
      <c r="H87" s="1712"/>
      <c r="I87" s="1712"/>
      <c r="J87" s="1712"/>
      <c r="K87" s="1712"/>
      <c r="L87" s="1713"/>
      <c r="M87" s="1771" t="str">
        <f>VLOOKUP("checked / released",Translations!$A:$T,MATCH(Cover!DR19,Translations!A2:P2,0),0)</f>
        <v>checked / released</v>
      </c>
      <c r="N87" s="1772"/>
      <c r="O87" s="1772"/>
      <c r="P87" s="1772"/>
      <c r="Q87" s="1772"/>
      <c r="R87" s="1772"/>
      <c r="S87" s="1772"/>
      <c r="T87" s="1772"/>
      <c r="U87" s="1772"/>
      <c r="V87" s="1772"/>
      <c r="W87" s="1772"/>
      <c r="X87" s="1772"/>
      <c r="Y87" s="1772"/>
      <c r="Z87" s="1772"/>
      <c r="AA87" s="1772"/>
      <c r="AB87" s="1773"/>
      <c r="AC87" s="1760"/>
      <c r="AD87" s="1761"/>
      <c r="AE87" s="1761"/>
      <c r="AF87" s="1761"/>
      <c r="AG87" s="1761"/>
      <c r="AH87" s="1761"/>
      <c r="AI87" s="1761"/>
      <c r="AJ87" s="1761"/>
      <c r="AK87" s="1761"/>
      <c r="AL87" s="1761"/>
      <c r="AM87" s="1761"/>
      <c r="AN87" s="1762"/>
    </row>
    <row r="88" spans="1:40" ht="16.5" customHeight="1" thickBot="1">
      <c r="A88" s="8"/>
      <c r="B88" s="302"/>
      <c r="C88" s="302"/>
      <c r="D88" s="302"/>
      <c r="E88" s="302"/>
      <c r="F88" s="4"/>
      <c r="G88" s="311"/>
      <c r="H88" s="303"/>
      <c r="I88" s="498"/>
      <c r="J88" s="503"/>
      <c r="K88" s="503"/>
      <c r="L88" s="504"/>
      <c r="M88" s="505"/>
      <c r="N88" s="503"/>
      <c r="O88" s="503"/>
      <c r="P88" s="503"/>
      <c r="Q88" s="503"/>
      <c r="R88" s="503"/>
      <c r="S88" s="503"/>
      <c r="T88" s="503"/>
      <c r="U88" s="503"/>
      <c r="V88" s="498"/>
      <c r="W88" s="503"/>
      <c r="X88" s="503"/>
      <c r="Y88" s="503"/>
      <c r="Z88" s="503"/>
      <c r="AA88" s="503"/>
      <c r="AB88" s="504"/>
      <c r="AC88" s="505"/>
      <c r="AD88" s="503"/>
      <c r="AE88" s="503"/>
      <c r="AF88" s="503"/>
      <c r="AG88" s="503"/>
      <c r="AH88" s="498"/>
      <c r="AI88" s="303"/>
      <c r="AJ88" s="303"/>
      <c r="AK88" s="303"/>
      <c r="AL88" s="303"/>
      <c r="AM88" s="303"/>
      <c r="AN88" s="312"/>
    </row>
    <row r="89" spans="1:40" ht="3.75" customHeight="1" thickBot="1">
      <c r="A89" s="2"/>
      <c r="B89" s="5"/>
      <c r="C89" s="5"/>
      <c r="D89" s="5"/>
      <c r="E89" s="5"/>
      <c r="F89" s="3"/>
      <c r="G89" s="313"/>
      <c r="H89" s="314"/>
      <c r="I89" s="314"/>
      <c r="J89" s="314"/>
      <c r="K89" s="314"/>
      <c r="L89" s="315"/>
      <c r="M89" s="313"/>
      <c r="N89" s="314"/>
      <c r="O89" s="314"/>
      <c r="P89" s="314"/>
      <c r="Q89" s="314"/>
      <c r="R89" s="314"/>
      <c r="S89" s="314"/>
      <c r="T89" s="314"/>
      <c r="U89" s="314"/>
      <c r="V89" s="314"/>
      <c r="W89" s="314"/>
      <c r="X89" s="314"/>
      <c r="Y89" s="314"/>
      <c r="Z89" s="314"/>
      <c r="AA89" s="314"/>
      <c r="AB89" s="315"/>
      <c r="AC89" s="313"/>
      <c r="AD89" s="314"/>
      <c r="AE89" s="314"/>
      <c r="AF89" s="314"/>
      <c r="AG89" s="314"/>
      <c r="AH89" s="314"/>
      <c r="AI89" s="314"/>
      <c r="AJ89" s="314"/>
      <c r="AK89" s="314"/>
      <c r="AL89" s="314"/>
      <c r="AM89" s="314"/>
      <c r="AN89" s="315"/>
    </row>
    <row r="90" spans="1:40" ht="12.75" customHeight="1">
      <c r="A90" s="7"/>
      <c r="B90" s="1704" t="str">
        <f>VLOOKUP("Personal",Translations!$A:$T,MATCH(Cover!DR19,Translations!A2:P2,0),0)</f>
        <v>Personnel</v>
      </c>
      <c r="C90" s="1704"/>
      <c r="D90" s="1704"/>
      <c r="E90" s="1704"/>
      <c r="F90" s="1705"/>
      <c r="G90" s="1714" t="str">
        <f>VLOOKUP("grün6",Translations!$A:$T,MATCH(Cover!DR19,Translations!A2:P2,0),0)</f>
        <v>All production personnel</v>
      </c>
      <c r="H90" s="1715"/>
      <c r="I90" s="1715"/>
      <c r="J90" s="1715"/>
      <c r="K90" s="1715"/>
      <c r="L90" s="1716"/>
      <c r="M90" s="1714" t="str">
        <f>VLOOKUP("gelb6",Translations!$A:$T,MATCH(Cover!DR19,Translations!A2:P2,0),0)</f>
        <v>Selcted production personnel</v>
      </c>
      <c r="N90" s="1715"/>
      <c r="O90" s="1715"/>
      <c r="P90" s="1715"/>
      <c r="Q90" s="1715"/>
      <c r="R90" s="1715"/>
      <c r="S90" s="1715"/>
      <c r="T90" s="1715"/>
      <c r="U90" s="1715"/>
      <c r="V90" s="1715"/>
      <c r="W90" s="1715"/>
      <c r="X90" s="1715"/>
      <c r="Y90" s="1715"/>
      <c r="Z90" s="1715"/>
      <c r="AA90" s="1715"/>
      <c r="AB90" s="1716"/>
      <c r="AC90" s="1714" t="str">
        <f>VLOOKUP("rot6",Translations!$A:$T,MATCH(Cover!DR19,Translations!A2:P2,0),0)</f>
        <v>No production personnel</v>
      </c>
      <c r="AD90" s="1715"/>
      <c r="AE90" s="1715"/>
      <c r="AF90" s="1715"/>
      <c r="AG90" s="1715"/>
      <c r="AH90" s="1715"/>
      <c r="AI90" s="1715"/>
      <c r="AJ90" s="1715"/>
      <c r="AK90" s="1715"/>
      <c r="AL90" s="1715"/>
      <c r="AM90" s="1715"/>
      <c r="AN90" s="1716"/>
    </row>
    <row r="91" spans="1:40" ht="12.75" customHeight="1">
      <c r="A91" s="8"/>
      <c r="B91" s="302"/>
      <c r="C91" s="302"/>
      <c r="D91" s="302"/>
      <c r="E91" s="302"/>
      <c r="F91" s="4"/>
      <c r="G91" s="1711" t="str">
        <f>VLOOKUP("geschult",Translations!$A:$T,MATCH(Cover!DR19,Translations!A2:P2,0),0)</f>
        <v>trained; Complete work &amp; inspection instructions available</v>
      </c>
      <c r="H91" s="1712"/>
      <c r="I91" s="1712"/>
      <c r="J91" s="1712"/>
      <c r="K91" s="1712"/>
      <c r="L91" s="1713"/>
      <c r="M91" s="1711" t="str">
        <f>VLOOKUP("geschult",Translations!$A:$T,MATCH(Cover!DR19,Translations!A2:P2,0),0)</f>
        <v>trained; Complete work &amp; inspection instructions available</v>
      </c>
      <c r="N91" s="1712"/>
      <c r="O91" s="1712"/>
      <c r="P91" s="1712"/>
      <c r="Q91" s="1712"/>
      <c r="R91" s="1712"/>
      <c r="S91" s="1712"/>
      <c r="T91" s="1712"/>
      <c r="U91" s="1712"/>
      <c r="V91" s="1712"/>
      <c r="W91" s="1712"/>
      <c r="X91" s="1712"/>
      <c r="Y91" s="1712"/>
      <c r="Z91" s="1712"/>
      <c r="AA91" s="1712"/>
      <c r="AB91" s="1713"/>
      <c r="AC91" s="1711" t="str">
        <f>VLOOKUP("Arbeit unvollständig",Translations!$A:$T,MATCH(Cover!DR19,Translations!A2:P2,0),0)</f>
        <v>Work &amp; inspection instructions incomplete</v>
      </c>
      <c r="AD91" s="1712"/>
      <c r="AE91" s="1712"/>
      <c r="AF91" s="1712"/>
      <c r="AG91" s="1712"/>
      <c r="AH91" s="1712"/>
      <c r="AI91" s="1712"/>
      <c r="AJ91" s="1712"/>
      <c r="AK91" s="1712"/>
      <c r="AL91" s="1712"/>
      <c r="AM91" s="1712"/>
      <c r="AN91" s="1713"/>
    </row>
    <row r="92" spans="1:40" ht="16.5" customHeight="1" thickBot="1">
      <c r="A92" s="8"/>
      <c r="B92" s="302"/>
      <c r="C92" s="302"/>
      <c r="D92" s="302"/>
      <c r="E92" s="302"/>
      <c r="F92" s="4"/>
      <c r="G92" s="1711"/>
      <c r="H92" s="1712"/>
      <c r="I92" s="1712"/>
      <c r="J92" s="1712"/>
      <c r="K92" s="1712"/>
      <c r="L92" s="1713"/>
      <c r="M92" s="1711"/>
      <c r="N92" s="1712"/>
      <c r="O92" s="1712"/>
      <c r="P92" s="1712"/>
      <c r="Q92" s="1712"/>
      <c r="R92" s="1712"/>
      <c r="S92" s="1712"/>
      <c r="T92" s="1712"/>
      <c r="U92" s="1712"/>
      <c r="V92" s="1712"/>
      <c r="W92" s="1712"/>
      <c r="X92" s="1712"/>
      <c r="Y92" s="1712"/>
      <c r="Z92" s="1712"/>
      <c r="AA92" s="1712"/>
      <c r="AB92" s="1713"/>
      <c r="AC92" s="1711"/>
      <c r="AD92" s="1712"/>
      <c r="AE92" s="1712"/>
      <c r="AF92" s="1712"/>
      <c r="AG92" s="1712"/>
      <c r="AH92" s="1712"/>
      <c r="AI92" s="1712"/>
      <c r="AJ92" s="1712"/>
      <c r="AK92" s="1712"/>
      <c r="AL92" s="1712"/>
      <c r="AM92" s="1712"/>
      <c r="AN92" s="1713"/>
    </row>
    <row r="93" spans="1:40" ht="16.5" customHeight="1" thickBot="1">
      <c r="A93" s="8"/>
      <c r="B93" s="302"/>
      <c r="C93" s="302"/>
      <c r="D93" s="302"/>
      <c r="E93" s="302"/>
      <c r="F93" s="4"/>
      <c r="G93" s="311"/>
      <c r="H93" s="303"/>
      <c r="I93" s="498"/>
      <c r="J93" s="503"/>
      <c r="K93" s="503"/>
      <c r="L93" s="504"/>
      <c r="M93" s="505"/>
      <c r="N93" s="503"/>
      <c r="O93" s="503"/>
      <c r="P93" s="503"/>
      <c r="Q93" s="503"/>
      <c r="R93" s="503"/>
      <c r="S93" s="503"/>
      <c r="T93" s="503"/>
      <c r="U93" s="503"/>
      <c r="V93" s="498"/>
      <c r="W93" s="503"/>
      <c r="X93" s="503"/>
      <c r="Y93" s="503"/>
      <c r="Z93" s="503"/>
      <c r="AA93" s="503"/>
      <c r="AB93" s="504"/>
      <c r="AC93" s="505"/>
      <c r="AD93" s="503"/>
      <c r="AE93" s="503"/>
      <c r="AF93" s="503"/>
      <c r="AG93" s="503"/>
      <c r="AH93" s="498"/>
      <c r="AI93" s="303"/>
      <c r="AJ93" s="303"/>
      <c r="AK93" s="303"/>
      <c r="AL93" s="303"/>
      <c r="AM93" s="303"/>
      <c r="AN93" s="312"/>
    </row>
    <row r="94" spans="1:40" ht="3.75" customHeight="1" thickBot="1">
      <c r="A94" s="2"/>
      <c r="B94" s="5"/>
      <c r="C94" s="5"/>
      <c r="D94" s="5"/>
      <c r="E94" s="5"/>
      <c r="F94" s="3"/>
      <c r="G94" s="313"/>
      <c r="H94" s="314"/>
      <c r="I94" s="314"/>
      <c r="J94" s="314"/>
      <c r="K94" s="314"/>
      <c r="L94" s="315"/>
      <c r="M94" s="313"/>
      <c r="N94" s="314"/>
      <c r="O94" s="314"/>
      <c r="P94" s="314"/>
      <c r="Q94" s="314"/>
      <c r="R94" s="314"/>
      <c r="S94" s="314"/>
      <c r="T94" s="314"/>
      <c r="U94" s="314"/>
      <c r="V94" s="314"/>
      <c r="W94" s="314"/>
      <c r="X94" s="314"/>
      <c r="Y94" s="314"/>
      <c r="Z94" s="314"/>
      <c r="AA94" s="314"/>
      <c r="AB94" s="315"/>
      <c r="AC94" s="313"/>
      <c r="AD94" s="314"/>
      <c r="AE94" s="314"/>
      <c r="AF94" s="314"/>
      <c r="AG94" s="314"/>
      <c r="AH94" s="314"/>
      <c r="AI94" s="314"/>
      <c r="AJ94" s="314"/>
      <c r="AK94" s="314"/>
      <c r="AL94" s="314"/>
      <c r="AM94" s="314"/>
      <c r="AN94" s="315"/>
    </row>
    <row r="95" spans="1:40" ht="12.75" customHeight="1">
      <c r="A95" s="616"/>
      <c r="B95" s="1749" t="str">
        <f>VLOOKUP("Prozessfähigkeit",Translations!$A:$T,MATCH(Cover!DR19,Translations!A2:P2,0),0)</f>
        <v>Process capability
(if 100% inspection is not planned)</v>
      </c>
      <c r="C95" s="1749"/>
      <c r="D95" s="1749"/>
      <c r="E95" s="1749"/>
      <c r="F95" s="1750"/>
      <c r="G95" s="1714" t="str">
        <f>VLOOKUP("grün7",Translations!$A:$T,MATCH(Cover!DR19,Translations!A2:P2,0),0)</f>
        <v>Agreed capability fully achieved</v>
      </c>
      <c r="H95" s="1715"/>
      <c r="I95" s="1715"/>
      <c r="J95" s="1715"/>
      <c r="K95" s="1715"/>
      <c r="L95" s="1716"/>
      <c r="M95" s="1714" t="str">
        <f>VLOOKUP("gelb7",Translations!$A:$T,MATCH(Cover!DR19,Translations!A2:P2,0),0)</f>
        <v>Agreed capability not achieved</v>
      </c>
      <c r="N95" s="1715"/>
      <c r="O95" s="1715"/>
      <c r="P95" s="1715"/>
      <c r="Q95" s="1715"/>
      <c r="R95" s="1715"/>
      <c r="S95" s="1715"/>
      <c r="T95" s="1715"/>
      <c r="U95" s="1715"/>
      <c r="V95" s="1715"/>
      <c r="W95" s="1715"/>
      <c r="X95" s="1715"/>
      <c r="Y95" s="1715"/>
      <c r="Z95" s="1715"/>
      <c r="AA95" s="1715"/>
      <c r="AB95" s="1716"/>
      <c r="AC95" s="1714" t="str">
        <f>VLOOKUP("rot7",Translations!$A:$T,MATCH(Cover!DR19,Translations!A2:P2,0),0)</f>
        <v>Capability not demonstrated</v>
      </c>
      <c r="AD95" s="1715"/>
      <c r="AE95" s="1715"/>
      <c r="AF95" s="1715"/>
      <c r="AG95" s="1715"/>
      <c r="AH95" s="1715"/>
      <c r="AI95" s="1715"/>
      <c r="AJ95" s="1715"/>
      <c r="AK95" s="1715"/>
      <c r="AL95" s="1715"/>
      <c r="AM95" s="1715"/>
      <c r="AN95" s="1716"/>
    </row>
    <row r="96" spans="1:40" ht="13.5" customHeight="1" thickBot="1">
      <c r="A96" s="617"/>
      <c r="B96" s="1751"/>
      <c r="C96" s="1751"/>
      <c r="D96" s="1751"/>
      <c r="E96" s="1751"/>
      <c r="F96" s="1752"/>
      <c r="G96" s="1760"/>
      <c r="H96" s="1761"/>
      <c r="I96" s="1761"/>
      <c r="J96" s="1761"/>
      <c r="K96" s="1761"/>
      <c r="L96" s="1762"/>
      <c r="M96" s="1711" t="str">
        <f>VLOOKUP("100% Kontrolle",Translations!$A:$T,MATCH(Cover!DR19,Translations!A2:P2,0),0)</f>
        <v>100% inspection introduced</v>
      </c>
      <c r="N96" s="1712"/>
      <c r="O96" s="1712"/>
      <c r="P96" s="1712"/>
      <c r="Q96" s="1712"/>
      <c r="R96" s="1712"/>
      <c r="S96" s="1712"/>
      <c r="T96" s="1712"/>
      <c r="U96" s="1712"/>
      <c r="V96" s="1712"/>
      <c r="W96" s="1712"/>
      <c r="X96" s="1712"/>
      <c r="Y96" s="1712"/>
      <c r="Z96" s="1712"/>
      <c r="AA96" s="1712"/>
      <c r="AB96" s="1713"/>
      <c r="AC96" s="1711" t="str">
        <f>VLOOKUP("keine 100%-Kontrolle",Translations!$A:$T,MATCH(Cover!DR19,Translations!A2:P2,0),0)</f>
        <v>No 100% inspection</v>
      </c>
      <c r="AD96" s="1712"/>
      <c r="AE96" s="1712"/>
      <c r="AF96" s="1712"/>
      <c r="AG96" s="1712"/>
      <c r="AH96" s="1712"/>
      <c r="AI96" s="1712"/>
      <c r="AJ96" s="1712"/>
      <c r="AK96" s="1712"/>
      <c r="AL96" s="1712"/>
      <c r="AM96" s="1712"/>
      <c r="AN96" s="1713"/>
    </row>
    <row r="97" spans="1:40" ht="16.5" customHeight="1" thickBot="1">
      <c r="A97" s="617"/>
      <c r="B97" s="1751"/>
      <c r="C97" s="1751"/>
      <c r="D97" s="1751"/>
      <c r="E97" s="1751"/>
      <c r="F97" s="1752"/>
      <c r="G97" s="311"/>
      <c r="H97" s="303"/>
      <c r="I97" s="498"/>
      <c r="J97" s="503"/>
      <c r="K97" s="503"/>
      <c r="L97" s="504"/>
      <c r="M97" s="505"/>
      <c r="N97" s="503"/>
      <c r="O97" s="503"/>
      <c r="P97" s="503"/>
      <c r="Q97" s="503"/>
      <c r="R97" s="503"/>
      <c r="S97" s="503"/>
      <c r="T97" s="503"/>
      <c r="U97" s="503"/>
      <c r="V97" s="498"/>
      <c r="W97" s="503"/>
      <c r="X97" s="503"/>
      <c r="Y97" s="503"/>
      <c r="Z97" s="503"/>
      <c r="AA97" s="503"/>
      <c r="AB97" s="504"/>
      <c r="AC97" s="505"/>
      <c r="AD97" s="503"/>
      <c r="AE97" s="503"/>
      <c r="AF97" s="503"/>
      <c r="AG97" s="503"/>
      <c r="AH97" s="498"/>
      <c r="AI97" s="303"/>
      <c r="AJ97" s="303"/>
      <c r="AK97" s="303"/>
      <c r="AL97" s="303"/>
      <c r="AM97" s="303"/>
      <c r="AN97" s="312"/>
    </row>
    <row r="98" spans="1:40" ht="3.75" customHeight="1" thickBot="1">
      <c r="A98" s="618"/>
      <c r="B98" s="1763"/>
      <c r="C98" s="1763"/>
      <c r="D98" s="1763"/>
      <c r="E98" s="1763"/>
      <c r="F98" s="1764"/>
      <c r="G98" s="313"/>
      <c r="H98" s="314"/>
      <c r="I98" s="314"/>
      <c r="J98" s="314"/>
      <c r="K98" s="314"/>
      <c r="L98" s="315"/>
      <c r="M98" s="313"/>
      <c r="N98" s="314"/>
      <c r="O98" s="314"/>
      <c r="P98" s="314"/>
      <c r="Q98" s="314"/>
      <c r="R98" s="314"/>
      <c r="S98" s="314"/>
      <c r="T98" s="314"/>
      <c r="U98" s="314"/>
      <c r="V98" s="314"/>
      <c r="W98" s="314"/>
      <c r="X98" s="314"/>
      <c r="Y98" s="314"/>
      <c r="Z98" s="314"/>
      <c r="AA98" s="314"/>
      <c r="AB98" s="315"/>
      <c r="AC98" s="313"/>
      <c r="AD98" s="314"/>
      <c r="AE98" s="314"/>
      <c r="AF98" s="314"/>
      <c r="AG98" s="314"/>
      <c r="AH98" s="314"/>
      <c r="AI98" s="314"/>
      <c r="AJ98" s="314"/>
      <c r="AK98" s="314"/>
      <c r="AL98" s="314"/>
      <c r="AM98" s="314"/>
      <c r="AN98" s="315"/>
    </row>
    <row r="99" spans="1:40" ht="12.75" customHeight="1">
      <c r="A99" s="332"/>
      <c r="B99" s="1749" t="str">
        <f>VLOOKUP("Test",Translations!$A:$T,MATCH(Cover!DR19,Translations!A2:P2,0),0)</f>
        <v>Test/Inspection                 equipement</v>
      </c>
      <c r="C99" s="1749"/>
      <c r="D99" s="1749"/>
      <c r="E99" s="1749"/>
      <c r="F99" s="1750"/>
      <c r="G99" s="1714" t="str">
        <f>VLOOKUP("grün8",Translations!$A:$T,MATCH(Cover!DR19,Translations!A2:P2,0),0)</f>
        <v>All present, checked and accepted</v>
      </c>
      <c r="H99" s="1715"/>
      <c r="I99" s="1715"/>
      <c r="J99" s="1715"/>
      <c r="K99" s="1715"/>
      <c r="L99" s="1716"/>
      <c r="M99" s="1714" t="str">
        <f>VLOOKUP("gelb8",Translations!$A:$T,MATCH(Cover!DR19,Translations!A2:P2,0),0)</f>
        <v>Only partially present, checked and accepted</v>
      </c>
      <c r="N99" s="1715"/>
      <c r="O99" s="1715"/>
      <c r="P99" s="1715"/>
      <c r="Q99" s="1715"/>
      <c r="R99" s="1715"/>
      <c r="S99" s="1715"/>
      <c r="T99" s="1715"/>
      <c r="U99" s="1715"/>
      <c r="V99" s="1715"/>
      <c r="W99" s="1715"/>
      <c r="X99" s="1715"/>
      <c r="Y99" s="1715"/>
      <c r="Z99" s="1715"/>
      <c r="AA99" s="1715"/>
      <c r="AB99" s="1716"/>
      <c r="AC99" s="1714" t="str">
        <f>VLOOKUP("rot8",Translations!$A:$T,MATCH(Cover!DR19,Translations!A2:P2,0),0)</f>
        <v>Not present</v>
      </c>
      <c r="AD99" s="1715"/>
      <c r="AE99" s="1715"/>
      <c r="AF99" s="1715"/>
      <c r="AG99" s="1715"/>
      <c r="AH99" s="1715"/>
      <c r="AI99" s="1715"/>
      <c r="AJ99" s="1715"/>
      <c r="AK99" s="1715"/>
      <c r="AL99" s="1715"/>
      <c r="AM99" s="1715"/>
      <c r="AN99" s="1716"/>
    </row>
    <row r="100" spans="1:40" ht="16.5" customHeight="1" thickBot="1">
      <c r="A100" s="333"/>
      <c r="B100" s="1751"/>
      <c r="C100" s="1751"/>
      <c r="D100" s="1751"/>
      <c r="E100" s="1751"/>
      <c r="F100" s="1752"/>
      <c r="G100" s="1711" t="str">
        <f>VLOOKUP("F. nachgewiesen",Translations!$A:$T,MATCH(Cover!DR19,Translations!A2:P2,0),0)</f>
        <v>Capabilty demonstrated</v>
      </c>
      <c r="H100" s="1712"/>
      <c r="I100" s="1712"/>
      <c r="J100" s="1712"/>
      <c r="K100" s="1712"/>
      <c r="L100" s="1713"/>
      <c r="M100" s="1711" t="str">
        <f>VLOOKUP("Ersatzprüfmittel",Translations!$A:$T,MATCH(Cover!DR19,Translations!A2:P2,0),0)</f>
        <v>Substitute equipment available</v>
      </c>
      <c r="N100" s="1712"/>
      <c r="O100" s="1712"/>
      <c r="P100" s="1712"/>
      <c r="Q100" s="1712"/>
      <c r="R100" s="1712"/>
      <c r="S100" s="1712"/>
      <c r="T100" s="1712"/>
      <c r="U100" s="1712"/>
      <c r="V100" s="1712"/>
      <c r="W100" s="1712"/>
      <c r="X100" s="1712"/>
      <c r="Y100" s="1712"/>
      <c r="Z100" s="1712"/>
      <c r="AA100" s="1712"/>
      <c r="AB100" s="1713"/>
      <c r="AC100" s="1711" t="str">
        <f>VLOOKUP("or not checked",Translations!$A:$T,MATCH(Cover!DR19,Translations!A2:P2,0),0)</f>
        <v>or not checked and accepted</v>
      </c>
      <c r="AD100" s="1712"/>
      <c r="AE100" s="1712"/>
      <c r="AF100" s="1712"/>
      <c r="AG100" s="1712"/>
      <c r="AH100" s="1712"/>
      <c r="AI100" s="1712"/>
      <c r="AJ100" s="1712"/>
      <c r="AK100" s="1712"/>
      <c r="AL100" s="1712"/>
      <c r="AM100" s="1712"/>
      <c r="AN100" s="1713"/>
    </row>
    <row r="101" spans="1:40" ht="16.5" customHeight="1" thickBot="1">
      <c r="A101" s="333"/>
      <c r="B101" s="371"/>
      <c r="C101" s="371"/>
      <c r="D101" s="371"/>
      <c r="E101" s="371"/>
      <c r="F101" s="372"/>
      <c r="G101" s="336"/>
      <c r="H101" s="337"/>
      <c r="I101" s="506"/>
      <c r="J101" s="509"/>
      <c r="K101" s="509"/>
      <c r="L101" s="510"/>
      <c r="M101" s="505"/>
      <c r="N101" s="503"/>
      <c r="O101" s="503"/>
      <c r="P101" s="503"/>
      <c r="Q101" s="503"/>
      <c r="R101" s="503"/>
      <c r="S101" s="503"/>
      <c r="T101" s="503"/>
      <c r="U101" s="503"/>
      <c r="V101" s="498"/>
      <c r="W101" s="503"/>
      <c r="X101" s="503"/>
      <c r="Y101" s="503"/>
      <c r="Z101" s="503"/>
      <c r="AA101" s="503"/>
      <c r="AB101" s="504"/>
      <c r="AC101" s="505"/>
      <c r="AD101" s="503"/>
      <c r="AE101" s="503"/>
      <c r="AF101" s="503"/>
      <c r="AG101" s="503"/>
      <c r="AH101" s="498"/>
      <c r="AI101" s="303"/>
      <c r="AJ101" s="303"/>
      <c r="AK101" s="303"/>
      <c r="AL101" s="303"/>
      <c r="AM101" s="303"/>
      <c r="AN101" s="312"/>
    </row>
    <row r="102" spans="1:40" ht="3.75" customHeight="1" thickBot="1">
      <c r="A102" s="255"/>
      <c r="B102" s="334"/>
      <c r="C102" s="334"/>
      <c r="D102" s="334"/>
      <c r="E102" s="334"/>
      <c r="F102" s="335"/>
      <c r="G102" s="339"/>
      <c r="H102" s="340"/>
      <c r="I102" s="340"/>
      <c r="J102" s="340"/>
      <c r="K102" s="340"/>
      <c r="L102" s="341"/>
      <c r="M102" s="313"/>
      <c r="N102" s="314"/>
      <c r="O102" s="314"/>
      <c r="P102" s="314"/>
      <c r="Q102" s="314"/>
      <c r="R102" s="314"/>
      <c r="S102" s="314"/>
      <c r="T102" s="314"/>
      <c r="U102" s="314"/>
      <c r="V102" s="314"/>
      <c r="W102" s="314"/>
      <c r="X102" s="314"/>
      <c r="Y102" s="314"/>
      <c r="Z102" s="314"/>
      <c r="AA102" s="314"/>
      <c r="AB102" s="315"/>
      <c r="AC102" s="313"/>
      <c r="AD102" s="314"/>
      <c r="AE102" s="314"/>
      <c r="AF102" s="314"/>
      <c r="AG102" s="314"/>
      <c r="AH102" s="314"/>
      <c r="AI102" s="314"/>
      <c r="AJ102" s="314"/>
      <c r="AK102" s="314"/>
      <c r="AL102" s="314"/>
      <c r="AM102" s="314"/>
      <c r="AN102" s="315"/>
    </row>
    <row r="103" spans="1:40" ht="6.75" customHeight="1">
      <c r="A103" s="332"/>
      <c r="B103" s="426"/>
      <c r="C103" s="426"/>
      <c r="D103" s="426"/>
      <c r="E103" s="426"/>
      <c r="F103" s="426"/>
      <c r="G103" s="427"/>
      <c r="H103" s="427"/>
      <c r="I103" s="427"/>
      <c r="J103" s="427"/>
      <c r="K103" s="427"/>
      <c r="L103" s="427"/>
      <c r="M103" s="6"/>
      <c r="N103" s="6"/>
      <c r="O103" s="6"/>
      <c r="P103" s="6"/>
      <c r="Q103" s="6"/>
      <c r="R103" s="6"/>
      <c r="S103" s="6"/>
      <c r="T103" s="6"/>
      <c r="U103" s="6"/>
      <c r="V103" s="6"/>
      <c r="W103" s="6"/>
      <c r="X103" s="6"/>
      <c r="Y103" s="6"/>
      <c r="Z103" s="6"/>
      <c r="AA103" s="6"/>
      <c r="AB103" s="6"/>
      <c r="AC103" s="6"/>
      <c r="AD103" s="6"/>
      <c r="AE103" s="6"/>
      <c r="AF103" s="6"/>
      <c r="AG103" s="6"/>
      <c r="AH103" s="6"/>
      <c r="AI103" s="6"/>
      <c r="AJ103" s="6"/>
      <c r="AK103" s="6"/>
      <c r="AL103" s="6"/>
      <c r="AM103" s="6"/>
      <c r="AN103" s="1"/>
    </row>
    <row r="104" spans="1:40" ht="12" customHeight="1">
      <c r="A104" s="333"/>
      <c r="B104" s="16"/>
      <c r="C104" s="16"/>
      <c r="D104" s="16"/>
      <c r="E104" s="16"/>
      <c r="F104" s="16"/>
      <c r="G104" s="16"/>
      <c r="H104" s="16"/>
      <c r="I104" s="413"/>
      <c r="J104" s="413"/>
      <c r="K104" s="413"/>
      <c r="L104" s="413"/>
      <c r="M104" s="303"/>
      <c r="N104" s="31"/>
      <c r="O104" s="31"/>
      <c r="P104" s="31"/>
      <c r="Q104" s="31"/>
      <c r="R104" s="31"/>
      <c r="S104" s="31"/>
      <c r="T104" s="303"/>
      <c r="U104" s="303"/>
      <c r="V104" s="303"/>
      <c r="W104" s="302"/>
      <c r="X104" s="302"/>
      <c r="Y104" s="302"/>
      <c r="Z104" s="302"/>
      <c r="AA104" s="302"/>
      <c r="AB104" s="302"/>
      <c r="AC104" s="302"/>
      <c r="AD104" s="302"/>
      <c r="AE104" s="302"/>
      <c r="AF104" s="302"/>
      <c r="AG104" s="302"/>
      <c r="AH104" s="302"/>
      <c r="AI104" s="302"/>
      <c r="AJ104" s="302"/>
      <c r="AK104" s="302"/>
      <c r="AL104" s="302"/>
      <c r="AM104" s="302"/>
      <c r="AN104" s="4"/>
    </row>
    <row r="105" spans="1:40" ht="18" customHeight="1">
      <c r="A105" s="333"/>
      <c r="B105" s="302"/>
      <c r="C105" s="302"/>
      <c r="D105" s="302"/>
      <c r="E105" s="302"/>
      <c r="F105" s="302"/>
      <c r="G105" s="1774" t="str">
        <f>VLOOKUP("Gesamtergebnis",Translations!$A:$T,MATCH(Cover!DR19,Translations!A2:P2,0),0)</f>
        <v>Overall result:</v>
      </c>
      <c r="H105" s="1774"/>
      <c r="I105" s="1774"/>
      <c r="J105" s="1774"/>
      <c r="K105" s="1774"/>
      <c r="L105" s="1774"/>
      <c r="M105" s="303"/>
      <c r="N105" s="1765"/>
      <c r="O105" s="1766"/>
      <c r="P105" s="1766"/>
      <c r="Q105" s="1766"/>
      <c r="R105" s="1766"/>
      <c r="S105" s="1766"/>
      <c r="T105" s="1766"/>
      <c r="U105" s="1767"/>
      <c r="V105" s="303"/>
      <c r="W105" s="1768" t="str">
        <f>VLOOKUP("ok/conditionally ok/nok",Translations!$A:$T,MATCH(Cover!DR19,Translations!A2:P2,0),0)</f>
        <v>(OK / Conditionally OK / NOK)</v>
      </c>
      <c r="X105" s="1768"/>
      <c r="Y105" s="1768"/>
      <c r="Z105" s="1768"/>
      <c r="AA105" s="1768"/>
      <c r="AB105" s="1768"/>
      <c r="AC105" s="1768"/>
      <c r="AD105" s="1768"/>
      <c r="AE105" s="1768"/>
      <c r="AF105" s="1768"/>
      <c r="AG105" s="302"/>
      <c r="AH105" s="302"/>
      <c r="AI105" s="302"/>
      <c r="AJ105" s="302"/>
      <c r="AK105" s="302"/>
      <c r="AL105" s="302"/>
      <c r="AM105" s="302"/>
      <c r="AN105" s="4"/>
    </row>
    <row r="106" spans="1:40" ht="12" customHeight="1">
      <c r="A106" s="333"/>
      <c r="B106" s="302"/>
      <c r="C106" s="302"/>
      <c r="D106" s="302"/>
      <c r="E106" s="302"/>
      <c r="F106" s="302"/>
      <c r="G106" s="302"/>
      <c r="H106" s="302"/>
      <c r="I106" s="428"/>
      <c r="J106" s="428"/>
      <c r="K106" s="428"/>
      <c r="L106" s="428"/>
      <c r="M106" s="303"/>
      <c r="N106" s="303"/>
      <c r="O106" s="303"/>
      <c r="P106" s="303"/>
      <c r="Q106" s="303"/>
      <c r="R106" s="303"/>
      <c r="S106" s="303"/>
      <c r="T106" s="303"/>
      <c r="U106" s="303"/>
      <c r="V106" s="303"/>
      <c r="W106" s="302"/>
      <c r="X106" s="302"/>
      <c r="Y106" s="302"/>
      <c r="Z106" s="302"/>
      <c r="AA106" s="302"/>
      <c r="AB106" s="302"/>
      <c r="AC106" s="302"/>
      <c r="AD106" s="302"/>
      <c r="AE106" s="302"/>
      <c r="AF106" s="302"/>
      <c r="AG106" s="302"/>
      <c r="AH106" s="302"/>
      <c r="AI106" s="302"/>
      <c r="AJ106" s="302"/>
      <c r="AK106" s="302"/>
      <c r="AL106" s="302"/>
      <c r="AM106" s="302"/>
      <c r="AN106" s="4"/>
    </row>
    <row r="107" spans="1:40" ht="6.75" customHeight="1">
      <c r="A107" s="333"/>
      <c r="B107" s="413"/>
      <c r="C107" s="413"/>
      <c r="D107" s="413"/>
      <c r="E107" s="413"/>
      <c r="F107" s="413"/>
      <c r="G107" s="302"/>
      <c r="H107" s="302"/>
      <c r="I107" s="413"/>
      <c r="J107" s="413"/>
      <c r="K107" s="413"/>
      <c r="L107" s="413"/>
      <c r="M107" s="413"/>
      <c r="N107" s="413"/>
      <c r="O107" s="413"/>
      <c r="P107" s="413"/>
      <c r="Q107" s="413"/>
      <c r="R107" s="413"/>
      <c r="S107" s="413"/>
      <c r="T107" s="413"/>
      <c r="U107" s="413"/>
      <c r="V107" s="413"/>
      <c r="W107" s="413"/>
      <c r="X107" s="302"/>
      <c r="Y107" s="302"/>
      <c r="Z107" s="302"/>
      <c r="AA107" s="302"/>
      <c r="AB107" s="302"/>
      <c r="AC107" s="302"/>
      <c r="AD107" s="302"/>
      <c r="AE107" s="302"/>
      <c r="AF107" s="302"/>
      <c r="AG107" s="302"/>
      <c r="AH107" s="302"/>
      <c r="AI107" s="302"/>
      <c r="AJ107" s="302"/>
      <c r="AK107" s="302"/>
      <c r="AL107" s="302"/>
      <c r="AM107" s="302"/>
      <c r="AN107" s="4"/>
    </row>
    <row r="108" spans="1:40" ht="32.25" customHeight="1">
      <c r="A108" s="511"/>
      <c r="B108" s="233"/>
      <c r="C108" s="1690"/>
      <c r="D108" s="1690"/>
      <c r="E108" s="1690"/>
      <c r="F108" s="1690"/>
      <c r="G108" s="302"/>
      <c r="H108" s="302"/>
      <c r="I108" s="1695"/>
      <c r="J108" s="1695"/>
      <c r="K108" s="1695"/>
      <c r="L108" s="1695"/>
      <c r="M108" s="1695"/>
      <c r="N108" s="1695"/>
      <c r="O108" s="1695"/>
      <c r="P108" s="1695"/>
      <c r="Q108" s="1695"/>
      <c r="R108" s="1695"/>
      <c r="S108" s="1695"/>
      <c r="T108" s="1695"/>
      <c r="U108" s="1695"/>
      <c r="V108" s="1695"/>
      <c r="W108" s="1695"/>
      <c r="X108" s="302"/>
      <c r="Y108" s="302"/>
      <c r="Z108" s="302"/>
      <c r="AA108" s="302"/>
      <c r="AB108" s="302"/>
      <c r="AC108" s="302"/>
      <c r="AD108" s="302"/>
      <c r="AE108" s="302"/>
      <c r="AF108" s="302"/>
      <c r="AG108" s="302"/>
      <c r="AH108" s="302"/>
      <c r="AI108" s="302"/>
      <c r="AJ108" s="302"/>
      <c r="AK108" s="302"/>
      <c r="AL108" s="302"/>
      <c r="AM108" s="302"/>
      <c r="AN108" s="4"/>
    </row>
    <row r="109" spans="1:40" ht="21" customHeight="1">
      <c r="A109" s="511"/>
      <c r="B109" s="233"/>
      <c r="C109" s="1151"/>
      <c r="D109" s="1151"/>
      <c r="E109" s="1151"/>
      <c r="F109" s="1151"/>
      <c r="G109" s="302"/>
      <c r="H109" s="302"/>
      <c r="I109" s="1696"/>
      <c r="J109" s="1696"/>
      <c r="K109" s="1696"/>
      <c r="L109" s="1696"/>
      <c r="M109" s="1696"/>
      <c r="N109" s="1696"/>
      <c r="O109" s="1696"/>
      <c r="P109" s="1696"/>
      <c r="Q109" s="1696"/>
      <c r="R109" s="1696"/>
      <c r="S109" s="1696"/>
      <c r="T109" s="1696"/>
      <c r="U109" s="1696"/>
      <c r="V109" s="1696"/>
      <c r="W109" s="1696"/>
      <c r="X109" s="302"/>
      <c r="Y109" s="302"/>
      <c r="Z109" s="302"/>
      <c r="AA109" s="302"/>
      <c r="AB109" s="302"/>
      <c r="AC109" s="302"/>
      <c r="AD109" s="302"/>
      <c r="AE109" s="302"/>
      <c r="AF109" s="302"/>
      <c r="AG109" s="302"/>
      <c r="AH109" s="302"/>
      <c r="AI109" s="302"/>
      <c r="AJ109" s="302"/>
      <c r="AK109" s="302"/>
      <c r="AL109" s="302"/>
      <c r="AM109" s="302"/>
      <c r="AN109" s="4"/>
    </row>
    <row r="110" spans="1:40">
      <c r="A110" s="333"/>
      <c r="B110" s="302"/>
      <c r="C110" s="1694" t="str">
        <f>VLOOKUP("Datum1",Translations!$A:$T,MATCH(Cover!DR19,Translations!A2:P2,0),0)</f>
        <v>Date</v>
      </c>
      <c r="D110" s="1694"/>
      <c r="E110" s="1694"/>
      <c r="F110" s="1694"/>
      <c r="G110" s="302"/>
      <c r="H110" s="302"/>
      <c r="I110" s="1694" t="str">
        <f>VLOOKUP("Unterschrift Lieferant",Translations!$A:$T,MATCH(Cover!DR19,Translations!A2:P2,0),0)</f>
        <v>Signature supplier</v>
      </c>
      <c r="J110" s="1694"/>
      <c r="K110" s="1694"/>
      <c r="L110" s="1694"/>
      <c r="M110" s="1694"/>
      <c r="N110" s="1694"/>
      <c r="O110" s="1694"/>
      <c r="P110" s="1694"/>
      <c r="Q110" s="1694"/>
      <c r="R110" s="1694"/>
      <c r="S110" s="1694"/>
      <c r="T110" s="1694"/>
      <c r="U110" s="1694"/>
      <c r="V110" s="1694"/>
      <c r="W110" s="1694"/>
      <c r="X110" s="302"/>
      <c r="Y110" s="302"/>
      <c r="Z110" s="302"/>
      <c r="AA110" s="302"/>
      <c r="AB110" s="302"/>
      <c r="AC110" s="302"/>
      <c r="AD110" s="302"/>
      <c r="AE110" s="302"/>
      <c r="AF110" s="302"/>
      <c r="AG110" s="302"/>
      <c r="AH110" s="302"/>
      <c r="AI110" s="302"/>
      <c r="AJ110" s="302"/>
      <c r="AK110" s="302"/>
      <c r="AL110" s="302"/>
      <c r="AM110" s="302"/>
      <c r="AN110" s="4"/>
    </row>
    <row r="111" spans="1:40" ht="12" customHeight="1" thickBot="1">
      <c r="A111" s="255"/>
      <c r="B111" s="5"/>
      <c r="C111" s="5"/>
      <c r="D111" s="5"/>
      <c r="E111" s="429"/>
      <c r="F111" s="5"/>
      <c r="G111" s="5"/>
      <c r="H111" s="5"/>
      <c r="I111" s="5"/>
      <c r="J111" s="5"/>
      <c r="K111" s="5"/>
      <c r="L111" s="429"/>
      <c r="M111" s="429"/>
      <c r="N111" s="429"/>
      <c r="O111" s="429"/>
      <c r="P111" s="429"/>
      <c r="Q111" s="429"/>
      <c r="R111" s="429"/>
      <c r="S111" s="429"/>
      <c r="T111" s="429"/>
      <c r="U111" s="429"/>
      <c r="V111" s="5"/>
      <c r="W111" s="5"/>
      <c r="X111" s="5"/>
      <c r="Y111" s="5"/>
      <c r="Z111" s="5"/>
      <c r="AA111" s="5"/>
      <c r="AB111" s="5"/>
      <c r="AC111" s="5"/>
      <c r="AD111" s="5"/>
      <c r="AE111" s="5"/>
      <c r="AF111" s="5"/>
      <c r="AG111" s="5"/>
      <c r="AH111" s="5"/>
      <c r="AI111" s="5"/>
      <c r="AJ111" s="5"/>
      <c r="AK111" s="5"/>
      <c r="AL111" s="5"/>
      <c r="AM111" s="5"/>
      <c r="AN111" s="3"/>
    </row>
    <row r="112" spans="1:40">
      <c r="B112"/>
      <c r="C112"/>
      <c r="D112"/>
      <c r="E112"/>
      <c r="F112"/>
      <c r="G112"/>
      <c r="H112"/>
      <c r="I112"/>
      <c r="J112"/>
      <c r="K112"/>
      <c r="L112"/>
      <c r="M112"/>
      <c r="N112"/>
      <c r="O112"/>
      <c r="P112"/>
      <c r="Q112"/>
      <c r="R112"/>
      <c r="S112"/>
      <c r="T112"/>
      <c r="U112"/>
      <c r="V112"/>
      <c r="W112"/>
      <c r="X112"/>
      <c r="Y112"/>
      <c r="Z112"/>
      <c r="AA112"/>
      <c r="AB112"/>
      <c r="AC112"/>
      <c r="AD112"/>
      <c r="AE112"/>
      <c r="AF112"/>
      <c r="AG112"/>
      <c r="AH112"/>
      <c r="AI112"/>
      <c r="AJ112"/>
      <c r="AK112"/>
      <c r="AL112"/>
      <c r="AM112"/>
      <c r="AN112"/>
    </row>
    <row r="113" spans="2:40">
      <c r="B113"/>
      <c r="C113"/>
      <c r="D113"/>
      <c r="E113"/>
      <c r="F113"/>
      <c r="G113"/>
      <c r="H113"/>
      <c r="I113"/>
      <c r="J113"/>
      <c r="K113"/>
      <c r="L113"/>
      <c r="M113"/>
      <c r="N113"/>
      <c r="O113"/>
      <c r="P113"/>
      <c r="Q113"/>
      <c r="R113"/>
      <c r="S113"/>
      <c r="T113"/>
      <c r="U113"/>
      <c r="V113"/>
      <c r="W113"/>
      <c r="X113"/>
      <c r="Y113"/>
      <c r="Z113"/>
      <c r="AA113"/>
      <c r="AB113"/>
      <c r="AC113"/>
      <c r="AD113"/>
      <c r="AE113"/>
      <c r="AF113"/>
      <c r="AG113"/>
      <c r="AH113"/>
      <c r="AI113"/>
      <c r="AJ113"/>
      <c r="AK113"/>
      <c r="AL113"/>
      <c r="AM113"/>
      <c r="AN113"/>
    </row>
    <row r="114" spans="2:40">
      <c r="B114"/>
      <c r="C114"/>
      <c r="D114"/>
      <c r="E114"/>
      <c r="F114"/>
      <c r="G114"/>
      <c r="H114"/>
      <c r="I114"/>
      <c r="J114"/>
      <c r="K114"/>
      <c r="L114"/>
      <c r="M114"/>
      <c r="N114"/>
      <c r="O114"/>
      <c r="P114"/>
      <c r="Q114"/>
      <c r="R114"/>
      <c r="S114"/>
      <c r="T114"/>
      <c r="U114"/>
      <c r="V114"/>
      <c r="W114"/>
      <c r="X114"/>
      <c r="Y114"/>
      <c r="Z114"/>
      <c r="AA114"/>
      <c r="AB114"/>
      <c r="AC114"/>
      <c r="AD114"/>
      <c r="AE114"/>
      <c r="AF114"/>
      <c r="AG114"/>
      <c r="AH114"/>
      <c r="AI114"/>
      <c r="AJ114"/>
      <c r="AK114"/>
      <c r="AL114"/>
      <c r="AM114"/>
      <c r="AN114"/>
    </row>
    <row r="115" spans="2:40">
      <c r="B115"/>
      <c r="C115"/>
      <c r="D115"/>
      <c r="E115"/>
      <c r="F115"/>
      <c r="G115"/>
      <c r="H115"/>
      <c r="I115"/>
      <c r="J115"/>
      <c r="K115"/>
      <c r="L115"/>
      <c r="M115"/>
      <c r="N115"/>
      <c r="O115"/>
      <c r="P115"/>
      <c r="Q115"/>
      <c r="R115"/>
      <c r="S115"/>
      <c r="T115"/>
      <c r="U115"/>
      <c r="V115"/>
      <c r="W115"/>
      <c r="X115"/>
      <c r="Y115"/>
      <c r="Z115"/>
      <c r="AA115"/>
      <c r="AB115"/>
      <c r="AC115"/>
      <c r="AD115"/>
      <c r="AE115"/>
      <c r="AF115"/>
      <c r="AG115"/>
      <c r="AH115"/>
      <c r="AI115"/>
      <c r="AJ115"/>
      <c r="AK115"/>
      <c r="AL115"/>
      <c r="AM115"/>
      <c r="AN115"/>
    </row>
    <row r="116" spans="2:40">
      <c r="B116"/>
      <c r="C116"/>
      <c r="D116"/>
      <c r="E116"/>
      <c r="F116"/>
      <c r="G116"/>
      <c r="H116"/>
      <c r="I116"/>
      <c r="J116"/>
      <c r="K116"/>
      <c r="L116"/>
      <c r="M116"/>
      <c r="N116"/>
      <c r="O116"/>
      <c r="P116"/>
      <c r="Q116"/>
      <c r="R116"/>
      <c r="S116"/>
      <c r="T116"/>
      <c r="U116"/>
      <c r="V116"/>
      <c r="W116"/>
      <c r="X116"/>
      <c r="Y116"/>
      <c r="Z116"/>
      <c r="AA116"/>
      <c r="AB116"/>
      <c r="AC116"/>
      <c r="AD116"/>
      <c r="AE116"/>
      <c r="AF116"/>
      <c r="AG116"/>
      <c r="AH116"/>
      <c r="AI116"/>
      <c r="AJ116"/>
      <c r="AK116"/>
      <c r="AL116"/>
      <c r="AM116"/>
      <c r="AN116"/>
    </row>
    <row r="117" spans="2:40">
      <c r="B117"/>
      <c r="C117"/>
      <c r="D117"/>
      <c r="E117"/>
      <c r="F117"/>
      <c r="G117"/>
      <c r="H117"/>
      <c r="I117"/>
      <c r="J117"/>
      <c r="K117"/>
      <c r="L117"/>
      <c r="M117"/>
      <c r="N117"/>
      <c r="O117"/>
      <c r="P117"/>
      <c r="Q117"/>
      <c r="R117"/>
      <c r="S117"/>
      <c r="T117"/>
      <c r="U117"/>
      <c r="V117"/>
      <c r="W117"/>
      <c r="X117"/>
      <c r="Y117"/>
      <c r="Z117"/>
      <c r="AA117"/>
      <c r="AB117"/>
      <c r="AC117"/>
      <c r="AD117"/>
      <c r="AE117"/>
      <c r="AF117"/>
      <c r="AG117"/>
      <c r="AH117"/>
      <c r="AI117"/>
      <c r="AJ117"/>
      <c r="AK117"/>
      <c r="AL117"/>
      <c r="AM117"/>
      <c r="AN117"/>
    </row>
    <row r="118" spans="2:40">
      <c r="B118"/>
      <c r="C118"/>
      <c r="D118"/>
      <c r="E118"/>
      <c r="F118"/>
      <c r="G118"/>
      <c r="H118"/>
      <c r="I118"/>
      <c r="J118"/>
      <c r="K118"/>
      <c r="L118"/>
      <c r="M118"/>
      <c r="N118"/>
      <c r="O118"/>
      <c r="P118"/>
      <c r="Q118"/>
      <c r="R118"/>
      <c r="S118"/>
      <c r="T118"/>
      <c r="U118"/>
      <c r="V118"/>
      <c r="W118"/>
      <c r="X118"/>
      <c r="Y118"/>
      <c r="Z118"/>
      <c r="AA118"/>
      <c r="AB118"/>
      <c r="AC118"/>
      <c r="AD118"/>
      <c r="AE118"/>
      <c r="AF118"/>
      <c r="AG118"/>
      <c r="AH118"/>
      <c r="AI118"/>
      <c r="AJ118"/>
      <c r="AK118"/>
      <c r="AL118"/>
      <c r="AM118"/>
      <c r="AN118"/>
    </row>
    <row r="119" spans="2:40">
      <c r="B119"/>
      <c r="C119"/>
      <c r="D119"/>
      <c r="E119"/>
      <c r="F119"/>
      <c r="G119"/>
      <c r="H119"/>
      <c r="I119"/>
      <c r="J119"/>
      <c r="K119"/>
      <c r="L119"/>
      <c r="M119"/>
      <c r="N119"/>
      <c r="O119"/>
      <c r="P119"/>
      <c r="Q119"/>
      <c r="R119"/>
      <c r="S119"/>
      <c r="T119"/>
      <c r="U119"/>
      <c r="V119"/>
      <c r="W119"/>
      <c r="X119"/>
      <c r="Y119"/>
      <c r="Z119"/>
      <c r="AA119"/>
      <c r="AB119"/>
      <c r="AC119"/>
      <c r="AD119"/>
      <c r="AE119"/>
      <c r="AF119"/>
      <c r="AG119"/>
      <c r="AH119"/>
      <c r="AI119"/>
      <c r="AJ119"/>
      <c r="AK119"/>
      <c r="AL119"/>
      <c r="AM119"/>
      <c r="AN119"/>
    </row>
    <row r="120" spans="2:40">
      <c r="B120"/>
      <c r="C120"/>
      <c r="D120"/>
      <c r="E120"/>
      <c r="F120"/>
      <c r="G120"/>
      <c r="H120"/>
      <c r="I120"/>
      <c r="J120"/>
      <c r="K120"/>
      <c r="L120"/>
      <c r="M120"/>
      <c r="N120"/>
      <c r="O120"/>
      <c r="P120"/>
      <c r="Q120"/>
      <c r="R120"/>
      <c r="S120"/>
      <c r="T120"/>
      <c r="U120"/>
      <c r="V120"/>
      <c r="W120"/>
      <c r="X120"/>
      <c r="Y120"/>
      <c r="Z120"/>
      <c r="AA120"/>
      <c r="AB120"/>
      <c r="AC120"/>
      <c r="AD120"/>
      <c r="AE120"/>
      <c r="AF120"/>
      <c r="AG120"/>
      <c r="AH120"/>
      <c r="AI120"/>
      <c r="AJ120"/>
      <c r="AK120"/>
      <c r="AL120"/>
      <c r="AM120"/>
      <c r="AN120"/>
    </row>
    <row r="121" spans="2:40">
      <c r="B121"/>
      <c r="C121"/>
      <c r="D121"/>
      <c r="E121"/>
      <c r="F121"/>
      <c r="G121"/>
      <c r="H121"/>
      <c r="I121"/>
      <c r="J121"/>
      <c r="K121"/>
      <c r="L121"/>
      <c r="M121"/>
      <c r="N121"/>
      <c r="O121"/>
      <c r="P121"/>
      <c r="Q121"/>
      <c r="R121"/>
      <c r="S121"/>
      <c r="T121"/>
      <c r="U121"/>
      <c r="V121"/>
      <c r="W121"/>
      <c r="X121"/>
      <c r="Y121"/>
      <c r="Z121"/>
      <c r="AA121"/>
      <c r="AB121"/>
      <c r="AC121"/>
      <c r="AD121"/>
      <c r="AE121"/>
      <c r="AF121"/>
      <c r="AG121"/>
      <c r="AH121"/>
      <c r="AI121"/>
      <c r="AJ121"/>
      <c r="AK121"/>
      <c r="AL121"/>
      <c r="AM121"/>
      <c r="AN121"/>
    </row>
    <row r="122" spans="2:40">
      <c r="B122"/>
      <c r="C122"/>
      <c r="D122"/>
      <c r="E122"/>
      <c r="F122"/>
      <c r="G122"/>
      <c r="H122"/>
      <c r="I122"/>
      <c r="J122"/>
      <c r="K122"/>
      <c r="L122"/>
      <c r="M122"/>
      <c r="N122"/>
      <c r="O122"/>
      <c r="P122"/>
      <c r="Q122"/>
      <c r="R122"/>
      <c r="S122"/>
      <c r="T122"/>
      <c r="U122"/>
      <c r="V122"/>
      <c r="W122"/>
      <c r="X122"/>
      <c r="Y122"/>
      <c r="Z122"/>
      <c r="AA122"/>
      <c r="AB122"/>
      <c r="AC122"/>
      <c r="AD122"/>
      <c r="AE122"/>
      <c r="AF122"/>
      <c r="AG122"/>
      <c r="AH122"/>
      <c r="AI122"/>
      <c r="AJ122"/>
      <c r="AK122"/>
      <c r="AL122"/>
      <c r="AM122"/>
      <c r="AN122"/>
    </row>
    <row r="123" spans="2:40">
      <c r="B123"/>
      <c r="C123"/>
      <c r="D123"/>
      <c r="E123"/>
      <c r="F123"/>
      <c r="G123"/>
      <c r="H123"/>
      <c r="I123"/>
      <c r="J123"/>
      <c r="K123"/>
      <c r="L123"/>
      <c r="M123"/>
      <c r="N123"/>
      <c r="O123"/>
      <c r="P123"/>
      <c r="Q123"/>
      <c r="R123"/>
      <c r="S123"/>
      <c r="T123"/>
      <c r="U123"/>
      <c r="V123"/>
      <c r="W123"/>
      <c r="X123"/>
      <c r="Y123"/>
      <c r="Z123"/>
      <c r="AA123"/>
      <c r="AB123"/>
      <c r="AC123"/>
      <c r="AD123"/>
      <c r="AE123"/>
      <c r="AF123"/>
      <c r="AG123"/>
      <c r="AH123"/>
      <c r="AI123"/>
      <c r="AJ123"/>
      <c r="AK123"/>
      <c r="AL123"/>
      <c r="AM123"/>
      <c r="AN123"/>
    </row>
    <row r="124" spans="2:40">
      <c r="B124"/>
      <c r="C124"/>
      <c r="D124"/>
      <c r="E124"/>
      <c r="F124"/>
      <c r="G124"/>
      <c r="H124"/>
      <c r="I124"/>
      <c r="J124"/>
      <c r="K124"/>
      <c r="L124"/>
      <c r="M124"/>
      <c r="N124"/>
      <c r="O124"/>
      <c r="P124"/>
      <c r="Q124"/>
      <c r="R124"/>
      <c r="S124"/>
      <c r="T124"/>
      <c r="U124"/>
      <c r="V124"/>
      <c r="W124"/>
      <c r="X124"/>
      <c r="Y124"/>
      <c r="Z124"/>
      <c r="AA124"/>
      <c r="AB124"/>
      <c r="AC124"/>
      <c r="AD124"/>
      <c r="AE124"/>
      <c r="AF124"/>
      <c r="AG124"/>
      <c r="AH124"/>
      <c r="AI124"/>
      <c r="AJ124"/>
      <c r="AK124"/>
      <c r="AL124"/>
      <c r="AM124"/>
      <c r="AN124"/>
    </row>
    <row r="125" spans="2:40">
      <c r="B125"/>
      <c r="C125"/>
      <c r="D125"/>
      <c r="E125"/>
      <c r="F125"/>
      <c r="G125"/>
      <c r="H125"/>
      <c r="I125"/>
      <c r="J125"/>
      <c r="K125"/>
      <c r="L125"/>
      <c r="M125"/>
      <c r="N125"/>
      <c r="O125"/>
      <c r="P125"/>
      <c r="Q125"/>
      <c r="R125"/>
      <c r="S125"/>
      <c r="T125"/>
      <c r="U125"/>
      <c r="V125"/>
      <c r="W125"/>
      <c r="X125"/>
      <c r="Y125"/>
      <c r="Z125"/>
      <c r="AA125"/>
      <c r="AB125"/>
      <c r="AC125"/>
      <c r="AD125"/>
      <c r="AE125"/>
      <c r="AF125"/>
      <c r="AG125"/>
      <c r="AH125"/>
      <c r="AI125"/>
      <c r="AJ125"/>
      <c r="AK125"/>
      <c r="AL125"/>
      <c r="AM125"/>
      <c r="AN125"/>
    </row>
    <row r="126" spans="2:40">
      <c r="B126"/>
      <c r="C126"/>
      <c r="D126"/>
      <c r="E126"/>
      <c r="F126"/>
      <c r="G126"/>
      <c r="H126"/>
      <c r="I126"/>
      <c r="J126"/>
      <c r="K126"/>
      <c r="L126"/>
      <c r="M126"/>
      <c r="N126"/>
      <c r="O126"/>
      <c r="P126"/>
      <c r="Q126"/>
      <c r="R126"/>
      <c r="S126"/>
      <c r="T126"/>
      <c r="U126"/>
      <c r="V126"/>
      <c r="W126"/>
      <c r="X126"/>
      <c r="Y126"/>
      <c r="Z126"/>
      <c r="AA126"/>
      <c r="AB126"/>
      <c r="AC126"/>
      <c r="AD126"/>
      <c r="AE126"/>
      <c r="AF126"/>
      <c r="AG126"/>
      <c r="AH126"/>
      <c r="AI126"/>
      <c r="AJ126"/>
      <c r="AK126"/>
      <c r="AL126"/>
      <c r="AM126"/>
      <c r="AN126"/>
    </row>
    <row r="127" spans="2:40">
      <c r="B127"/>
      <c r="C127"/>
      <c r="D127"/>
      <c r="E127"/>
      <c r="F127"/>
      <c r="G127"/>
      <c r="H127"/>
      <c r="I127"/>
      <c r="J127"/>
      <c r="K127"/>
      <c r="L127"/>
      <c r="M127"/>
      <c r="N127"/>
      <c r="O127"/>
      <c r="P127"/>
      <c r="Q127"/>
      <c r="R127"/>
      <c r="S127"/>
      <c r="T127"/>
      <c r="U127"/>
      <c r="V127"/>
      <c r="W127"/>
      <c r="X127"/>
      <c r="Y127"/>
      <c r="Z127"/>
      <c r="AA127"/>
      <c r="AB127"/>
      <c r="AC127"/>
      <c r="AD127"/>
      <c r="AE127"/>
      <c r="AF127"/>
      <c r="AG127"/>
      <c r="AH127"/>
      <c r="AI127"/>
      <c r="AJ127"/>
      <c r="AK127"/>
      <c r="AL127"/>
      <c r="AM127"/>
      <c r="AN127"/>
    </row>
    <row r="128" spans="2:40">
      <c r="B128"/>
      <c r="C128"/>
      <c r="D128"/>
      <c r="E128"/>
      <c r="F128"/>
      <c r="G128"/>
      <c r="H128"/>
      <c r="I128"/>
      <c r="J128"/>
      <c r="K128"/>
      <c r="L128"/>
      <c r="M128"/>
      <c r="N128"/>
      <c r="O128"/>
      <c r="P128"/>
      <c r="Q128"/>
      <c r="R128"/>
      <c r="S128"/>
      <c r="T128"/>
      <c r="U128"/>
      <c r="V128"/>
      <c r="W128"/>
      <c r="X128"/>
      <c r="Y128"/>
      <c r="Z128"/>
      <c r="AA128"/>
      <c r="AB128"/>
      <c r="AC128"/>
      <c r="AD128"/>
      <c r="AE128"/>
      <c r="AF128"/>
      <c r="AG128"/>
      <c r="AH128"/>
      <c r="AI128"/>
      <c r="AJ128"/>
      <c r="AK128"/>
      <c r="AL128"/>
      <c r="AM128"/>
      <c r="AN128"/>
    </row>
    <row r="129" spans="2:40">
      <c r="B129"/>
      <c r="C129"/>
      <c r="D129"/>
      <c r="E129"/>
      <c r="F129"/>
      <c r="G129"/>
      <c r="H129"/>
      <c r="I129"/>
      <c r="J129"/>
      <c r="K129"/>
      <c r="L129"/>
      <c r="M129"/>
      <c r="N129"/>
      <c r="O129"/>
      <c r="P129"/>
      <c r="Q129"/>
      <c r="R129"/>
      <c r="S129"/>
      <c r="T129"/>
      <c r="U129"/>
      <c r="V129"/>
      <c r="W129"/>
      <c r="X129"/>
      <c r="Y129"/>
      <c r="Z129"/>
      <c r="AA129"/>
      <c r="AB129"/>
      <c r="AC129"/>
      <c r="AD129"/>
      <c r="AE129"/>
      <c r="AF129"/>
      <c r="AG129"/>
      <c r="AH129"/>
      <c r="AI129"/>
      <c r="AJ129"/>
      <c r="AK129"/>
      <c r="AL129"/>
      <c r="AM129"/>
      <c r="AN129"/>
    </row>
    <row r="130" spans="2:40">
      <c r="B130"/>
      <c r="C130"/>
      <c r="D130"/>
      <c r="E130"/>
      <c r="F130"/>
      <c r="G130"/>
      <c r="H130"/>
      <c r="I130"/>
      <c r="J130"/>
      <c r="K130"/>
      <c r="L130"/>
      <c r="M130"/>
      <c r="N130"/>
      <c r="O130"/>
      <c r="P130"/>
      <c r="Q130"/>
      <c r="R130"/>
      <c r="S130"/>
      <c r="T130"/>
      <c r="U130"/>
      <c r="V130"/>
      <c r="W130"/>
      <c r="X130"/>
      <c r="Y130"/>
      <c r="Z130"/>
      <c r="AA130"/>
      <c r="AB130"/>
      <c r="AC130"/>
      <c r="AD130"/>
      <c r="AE130"/>
      <c r="AF130"/>
      <c r="AG130"/>
      <c r="AH130"/>
      <c r="AI130"/>
      <c r="AJ130"/>
      <c r="AK130"/>
      <c r="AL130"/>
      <c r="AM130"/>
      <c r="AN130"/>
    </row>
    <row r="131" spans="2:40">
      <c r="B131"/>
      <c r="C131"/>
      <c r="D131"/>
      <c r="E131"/>
      <c r="F131"/>
      <c r="G131"/>
      <c r="H131"/>
      <c r="I131"/>
      <c r="J131"/>
      <c r="K131"/>
      <c r="L131"/>
      <c r="M131"/>
      <c r="N131"/>
      <c r="O131"/>
      <c r="P131"/>
      <c r="Q131"/>
      <c r="R131"/>
      <c r="S131"/>
      <c r="T131"/>
      <c r="U131"/>
      <c r="V131"/>
      <c r="W131"/>
      <c r="X131"/>
      <c r="Y131"/>
      <c r="Z131"/>
      <c r="AA131"/>
      <c r="AB131"/>
      <c r="AC131"/>
      <c r="AD131"/>
      <c r="AE131"/>
      <c r="AF131"/>
      <c r="AG131"/>
      <c r="AH131"/>
      <c r="AI131"/>
      <c r="AJ131"/>
      <c r="AK131"/>
      <c r="AL131"/>
      <c r="AM131"/>
      <c r="AN131"/>
    </row>
    <row r="132" spans="2:40">
      <c r="B132"/>
      <c r="C132"/>
      <c r="D132"/>
      <c r="E132"/>
      <c r="F132"/>
      <c r="G132"/>
      <c r="H132"/>
      <c r="I132"/>
      <c r="J132"/>
      <c r="K132"/>
      <c r="L132"/>
      <c r="M132"/>
      <c r="N132"/>
      <c r="O132"/>
      <c r="P132"/>
      <c r="Q132"/>
      <c r="R132"/>
      <c r="S132"/>
      <c r="T132"/>
      <c r="U132"/>
      <c r="V132"/>
      <c r="W132"/>
      <c r="X132"/>
      <c r="Y132"/>
      <c r="Z132"/>
      <c r="AA132"/>
      <c r="AB132"/>
      <c r="AC132"/>
      <c r="AD132"/>
      <c r="AE132"/>
      <c r="AF132"/>
      <c r="AG132"/>
      <c r="AH132"/>
      <c r="AI132"/>
      <c r="AJ132"/>
      <c r="AK132"/>
      <c r="AL132"/>
      <c r="AM132"/>
      <c r="AN132"/>
    </row>
    <row r="133" spans="2:40">
      <c r="B133"/>
      <c r="C133"/>
      <c r="D133"/>
      <c r="E133"/>
      <c r="F133"/>
      <c r="G133"/>
      <c r="H133"/>
      <c r="I133"/>
      <c r="J133"/>
      <c r="K133"/>
      <c r="L133"/>
      <c r="M133"/>
      <c r="N133"/>
      <c r="O133"/>
      <c r="P133"/>
      <c r="Q133"/>
      <c r="R133"/>
      <c r="S133"/>
      <c r="T133"/>
      <c r="U133"/>
      <c r="V133"/>
      <c r="W133"/>
      <c r="X133"/>
      <c r="Y133"/>
      <c r="Z133"/>
      <c r="AA133"/>
      <c r="AB133"/>
      <c r="AC133"/>
      <c r="AD133"/>
      <c r="AE133"/>
      <c r="AF133"/>
      <c r="AG133"/>
      <c r="AH133"/>
      <c r="AI133"/>
      <c r="AJ133"/>
      <c r="AK133"/>
      <c r="AL133"/>
      <c r="AM133"/>
      <c r="AN133"/>
    </row>
    <row r="134" spans="2:40">
      <c r="B134"/>
      <c r="C134"/>
      <c r="D134"/>
      <c r="E134"/>
      <c r="F134"/>
      <c r="G134"/>
      <c r="H134"/>
      <c r="I134"/>
      <c r="J134"/>
      <c r="K134"/>
      <c r="L134"/>
      <c r="M134"/>
      <c r="N134"/>
      <c r="O134"/>
      <c r="P134"/>
      <c r="Q134"/>
      <c r="R134"/>
      <c r="S134"/>
      <c r="T134"/>
      <c r="U134"/>
      <c r="V134"/>
      <c r="W134"/>
      <c r="X134"/>
      <c r="Y134"/>
      <c r="Z134"/>
      <c r="AA134"/>
      <c r="AB134"/>
      <c r="AC134"/>
      <c r="AD134"/>
      <c r="AE134"/>
      <c r="AF134"/>
      <c r="AG134"/>
      <c r="AH134"/>
      <c r="AI134"/>
      <c r="AJ134"/>
      <c r="AK134"/>
      <c r="AL134"/>
      <c r="AM134"/>
      <c r="AN134"/>
    </row>
    <row r="135" spans="2:40">
      <c r="B135"/>
      <c r="C135"/>
      <c r="D135"/>
      <c r="E135"/>
      <c r="F135"/>
      <c r="G135"/>
      <c r="H135"/>
      <c r="I135"/>
      <c r="J135"/>
      <c r="K135"/>
      <c r="L135"/>
      <c r="M135"/>
      <c r="N135"/>
      <c r="O135"/>
      <c r="P135"/>
      <c r="Q135"/>
      <c r="R135"/>
      <c r="S135"/>
      <c r="T135"/>
      <c r="U135"/>
      <c r="V135"/>
      <c r="W135"/>
      <c r="X135"/>
      <c r="Y135"/>
      <c r="Z135"/>
      <c r="AA135"/>
      <c r="AB135"/>
      <c r="AC135"/>
      <c r="AD135"/>
      <c r="AE135"/>
      <c r="AF135"/>
      <c r="AG135"/>
      <c r="AH135"/>
      <c r="AI135"/>
      <c r="AJ135"/>
      <c r="AK135"/>
      <c r="AL135"/>
      <c r="AM135"/>
      <c r="AN135"/>
    </row>
    <row r="136" spans="2:40">
      <c r="B136"/>
      <c r="C136"/>
      <c r="D136"/>
      <c r="E136"/>
      <c r="F136"/>
      <c r="G136"/>
      <c r="H136"/>
      <c r="I136"/>
      <c r="J136"/>
      <c r="K136"/>
      <c r="L136"/>
      <c r="M136"/>
      <c r="N136"/>
      <c r="O136"/>
      <c r="P136"/>
      <c r="Q136"/>
      <c r="R136"/>
      <c r="S136"/>
      <c r="T136"/>
      <c r="U136"/>
      <c r="V136"/>
      <c r="W136"/>
      <c r="X136"/>
      <c r="Y136"/>
      <c r="Z136"/>
      <c r="AA136"/>
      <c r="AB136"/>
      <c r="AC136"/>
      <c r="AD136"/>
      <c r="AE136"/>
      <c r="AF136"/>
      <c r="AG136"/>
      <c r="AH136"/>
      <c r="AI136"/>
      <c r="AJ136"/>
      <c r="AK136"/>
      <c r="AL136"/>
      <c r="AM136"/>
      <c r="AN136"/>
    </row>
    <row r="137" spans="2:40">
      <c r="B137"/>
      <c r="C137"/>
      <c r="D137"/>
      <c r="E137"/>
      <c r="F137"/>
      <c r="G137"/>
      <c r="H137"/>
      <c r="I137"/>
      <c r="J137"/>
      <c r="K137"/>
      <c r="L137"/>
      <c r="M137"/>
      <c r="N137"/>
      <c r="O137"/>
      <c r="P137"/>
      <c r="Q137"/>
      <c r="R137"/>
      <c r="S137"/>
      <c r="T137"/>
      <c r="U137"/>
      <c r="V137"/>
      <c r="W137"/>
      <c r="X137"/>
      <c r="Y137"/>
      <c r="Z137"/>
      <c r="AA137"/>
      <c r="AB137"/>
      <c r="AC137"/>
      <c r="AD137"/>
      <c r="AE137"/>
      <c r="AF137"/>
      <c r="AG137"/>
      <c r="AH137"/>
      <c r="AI137"/>
      <c r="AJ137"/>
      <c r="AK137"/>
      <c r="AL137"/>
      <c r="AM137"/>
      <c r="AN137"/>
    </row>
    <row r="138" spans="2:40">
      <c r="B138"/>
      <c r="C138"/>
      <c r="D138"/>
      <c r="E138"/>
      <c r="F138"/>
      <c r="G138"/>
      <c r="H138"/>
      <c r="I138"/>
      <c r="J138"/>
      <c r="K138"/>
      <c r="L138"/>
      <c r="M138"/>
      <c r="N138"/>
      <c r="O138"/>
      <c r="P138"/>
      <c r="Q138"/>
      <c r="R138"/>
      <c r="S138"/>
      <c r="T138"/>
      <c r="U138"/>
      <c r="V138"/>
      <c r="W138"/>
      <c r="X138"/>
      <c r="Y138"/>
      <c r="Z138"/>
      <c r="AA138"/>
      <c r="AB138"/>
      <c r="AC138"/>
      <c r="AD138"/>
      <c r="AE138"/>
      <c r="AF138"/>
      <c r="AG138"/>
      <c r="AH138"/>
      <c r="AI138"/>
      <c r="AJ138"/>
      <c r="AK138"/>
      <c r="AL138"/>
      <c r="AM138"/>
      <c r="AN138"/>
    </row>
    <row r="139" spans="2:40">
      <c r="B139"/>
      <c r="C139"/>
      <c r="D139"/>
      <c r="E139"/>
      <c r="F139"/>
      <c r="G139"/>
      <c r="H139"/>
      <c r="I139"/>
      <c r="J139"/>
      <c r="K139"/>
      <c r="L139"/>
      <c r="M139"/>
      <c r="N139"/>
      <c r="O139"/>
      <c r="P139"/>
      <c r="Q139"/>
      <c r="R139"/>
      <c r="S139"/>
      <c r="T139"/>
      <c r="U139"/>
      <c r="V139"/>
      <c r="W139"/>
      <c r="X139"/>
      <c r="Y139"/>
      <c r="Z139"/>
      <c r="AA139"/>
      <c r="AB139"/>
      <c r="AC139"/>
      <c r="AD139"/>
      <c r="AE139"/>
      <c r="AF139"/>
      <c r="AG139"/>
      <c r="AH139"/>
      <c r="AI139"/>
      <c r="AJ139"/>
      <c r="AK139"/>
      <c r="AL139"/>
      <c r="AM139"/>
      <c r="AN139"/>
    </row>
    <row r="140" spans="2:40">
      <c r="B140"/>
      <c r="C140"/>
      <c r="D140"/>
      <c r="E140"/>
      <c r="F140"/>
      <c r="G140"/>
      <c r="H140"/>
      <c r="I140"/>
      <c r="J140"/>
      <c r="K140"/>
      <c r="L140"/>
      <c r="M140"/>
      <c r="N140"/>
      <c r="O140"/>
      <c r="P140"/>
      <c r="Q140"/>
      <c r="R140"/>
      <c r="S140"/>
      <c r="T140"/>
      <c r="U140"/>
      <c r="V140"/>
      <c r="W140"/>
      <c r="X140"/>
      <c r="Y140"/>
      <c r="Z140"/>
      <c r="AA140"/>
      <c r="AB140"/>
      <c r="AC140"/>
      <c r="AD140"/>
      <c r="AE140"/>
      <c r="AF140"/>
      <c r="AG140"/>
      <c r="AH140"/>
      <c r="AI140"/>
      <c r="AJ140"/>
      <c r="AK140"/>
      <c r="AL140"/>
      <c r="AM140"/>
      <c r="AN140"/>
    </row>
    <row r="141" spans="2:40">
      <c r="B141"/>
      <c r="C141"/>
      <c r="D141"/>
      <c r="E141"/>
      <c r="F141"/>
      <c r="G141"/>
      <c r="H141"/>
      <c r="I141"/>
      <c r="J141"/>
      <c r="K141"/>
      <c r="L141"/>
      <c r="M141"/>
      <c r="N141"/>
      <c r="O141"/>
      <c r="P141"/>
      <c r="Q141"/>
      <c r="R141"/>
      <c r="S141"/>
      <c r="T141"/>
      <c r="U141"/>
      <c r="V141"/>
      <c r="W141"/>
      <c r="X141"/>
      <c r="Y141"/>
      <c r="Z141"/>
      <c r="AA141"/>
      <c r="AB141"/>
      <c r="AC141"/>
      <c r="AD141"/>
      <c r="AE141"/>
      <c r="AF141"/>
      <c r="AG141"/>
      <c r="AH141"/>
      <c r="AI141"/>
      <c r="AJ141"/>
      <c r="AK141"/>
      <c r="AL141"/>
      <c r="AM141"/>
      <c r="AN141"/>
    </row>
    <row r="142" spans="2:40">
      <c r="B142"/>
      <c r="C142"/>
      <c r="D142"/>
      <c r="E142"/>
      <c r="F142"/>
      <c r="G142"/>
      <c r="H142"/>
      <c r="I142"/>
      <c r="J142"/>
      <c r="K142"/>
      <c r="L142"/>
      <c r="M142"/>
      <c r="N142"/>
      <c r="O142"/>
      <c r="P142"/>
      <c r="Q142"/>
      <c r="R142"/>
      <c r="S142"/>
      <c r="T142"/>
      <c r="U142"/>
      <c r="V142"/>
      <c r="W142"/>
      <c r="X142"/>
      <c r="Y142"/>
      <c r="Z142"/>
      <c r="AA142"/>
      <c r="AB142"/>
      <c r="AC142"/>
      <c r="AD142"/>
      <c r="AE142"/>
      <c r="AF142"/>
      <c r="AG142"/>
      <c r="AH142"/>
      <c r="AI142"/>
      <c r="AJ142"/>
      <c r="AK142"/>
      <c r="AL142"/>
      <c r="AM142"/>
      <c r="AN142"/>
    </row>
    <row r="143" spans="2:40">
      <c r="B143"/>
      <c r="C143"/>
      <c r="D143"/>
      <c r="E143"/>
      <c r="F143"/>
      <c r="G143"/>
      <c r="H143"/>
      <c r="I143"/>
      <c r="J143"/>
      <c r="K143"/>
      <c r="L143"/>
      <c r="M143"/>
      <c r="N143"/>
      <c r="O143"/>
      <c r="P143"/>
      <c r="Q143"/>
      <c r="R143"/>
      <c r="S143"/>
      <c r="T143"/>
      <c r="U143"/>
      <c r="V143"/>
      <c r="W143"/>
      <c r="X143"/>
      <c r="Y143"/>
      <c r="Z143"/>
      <c r="AA143"/>
      <c r="AB143"/>
      <c r="AC143"/>
      <c r="AD143"/>
      <c r="AE143"/>
      <c r="AF143"/>
      <c r="AG143"/>
      <c r="AH143"/>
      <c r="AI143"/>
      <c r="AJ143"/>
      <c r="AK143"/>
      <c r="AL143"/>
      <c r="AM143"/>
      <c r="AN143"/>
    </row>
    <row r="144" spans="2:40">
      <c r="B144"/>
      <c r="C144"/>
      <c r="D144"/>
      <c r="E144"/>
      <c r="F144"/>
      <c r="G144"/>
      <c r="H144"/>
      <c r="I144"/>
      <c r="J144"/>
      <c r="K144"/>
      <c r="L144"/>
      <c r="M144"/>
      <c r="N144"/>
      <c r="O144"/>
      <c r="P144"/>
      <c r="Q144"/>
      <c r="R144"/>
      <c r="S144"/>
      <c r="T144"/>
      <c r="U144"/>
      <c r="V144"/>
      <c r="W144"/>
      <c r="X144"/>
      <c r="Y144"/>
      <c r="Z144"/>
      <c r="AA144"/>
      <c r="AB144"/>
      <c r="AC144"/>
      <c r="AD144"/>
      <c r="AE144"/>
      <c r="AF144"/>
      <c r="AG144"/>
      <c r="AH144"/>
      <c r="AI144"/>
      <c r="AJ144"/>
      <c r="AK144"/>
      <c r="AL144"/>
      <c r="AM144"/>
      <c r="AN144"/>
    </row>
    <row r="145" spans="2:40">
      <c r="B145"/>
      <c r="C145"/>
      <c r="D145"/>
      <c r="E145"/>
      <c r="F145"/>
      <c r="G145"/>
      <c r="H145"/>
      <c r="I145"/>
      <c r="J145"/>
      <c r="K145"/>
      <c r="L145"/>
      <c r="M145"/>
      <c r="N145"/>
      <c r="O145"/>
      <c r="P145"/>
      <c r="Q145"/>
      <c r="R145"/>
      <c r="S145"/>
      <c r="T145"/>
      <c r="U145"/>
      <c r="V145"/>
      <c r="W145"/>
      <c r="X145"/>
      <c r="Y145"/>
      <c r="Z145"/>
      <c r="AA145"/>
      <c r="AB145"/>
      <c r="AC145"/>
      <c r="AD145"/>
      <c r="AE145"/>
      <c r="AF145"/>
      <c r="AG145"/>
      <c r="AH145"/>
      <c r="AI145"/>
      <c r="AJ145"/>
      <c r="AK145"/>
      <c r="AL145"/>
      <c r="AM145"/>
      <c r="AN145"/>
    </row>
    <row r="146" spans="2:40">
      <c r="B146"/>
      <c r="C146"/>
      <c r="D146"/>
      <c r="E146"/>
      <c r="F146"/>
      <c r="G146"/>
      <c r="H146"/>
      <c r="I146"/>
      <c r="J146"/>
      <c r="K146"/>
      <c r="L146"/>
      <c r="M146"/>
      <c r="N146"/>
      <c r="O146"/>
      <c r="P146"/>
      <c r="Q146"/>
      <c r="R146"/>
      <c r="S146"/>
      <c r="T146"/>
      <c r="U146"/>
      <c r="V146"/>
      <c r="W146"/>
      <c r="X146"/>
      <c r="Y146"/>
      <c r="Z146"/>
      <c r="AA146"/>
      <c r="AB146"/>
      <c r="AC146"/>
      <c r="AD146"/>
      <c r="AE146"/>
      <c r="AF146"/>
      <c r="AG146"/>
      <c r="AH146"/>
      <c r="AI146"/>
      <c r="AJ146"/>
      <c r="AK146"/>
      <c r="AL146"/>
      <c r="AM146"/>
      <c r="AN146"/>
    </row>
    <row r="147" spans="2:40">
      <c r="B147"/>
      <c r="C147"/>
      <c r="D147"/>
      <c r="E147"/>
      <c r="F147"/>
      <c r="G147"/>
      <c r="H147"/>
      <c r="I147"/>
      <c r="J147"/>
      <c r="K147"/>
      <c r="L147"/>
      <c r="M147"/>
      <c r="N147"/>
      <c r="O147"/>
      <c r="P147"/>
      <c r="Q147"/>
      <c r="R147"/>
      <c r="S147"/>
      <c r="T147"/>
      <c r="U147"/>
      <c r="V147"/>
      <c r="W147"/>
      <c r="X147"/>
      <c r="Y147"/>
      <c r="Z147"/>
      <c r="AA147"/>
      <c r="AB147"/>
      <c r="AC147"/>
      <c r="AD147"/>
      <c r="AE147"/>
      <c r="AF147"/>
      <c r="AG147"/>
      <c r="AH147"/>
      <c r="AI147"/>
      <c r="AJ147"/>
      <c r="AK147"/>
      <c r="AL147"/>
      <c r="AM147"/>
      <c r="AN147"/>
    </row>
    <row r="148" spans="2:40">
      <c r="B148"/>
      <c r="C148"/>
      <c r="D148"/>
      <c r="E148"/>
      <c r="F148"/>
      <c r="G148"/>
      <c r="H148"/>
      <c r="I148"/>
      <c r="J148"/>
      <c r="K148"/>
      <c r="L148"/>
      <c r="M148"/>
      <c r="N148"/>
      <c r="O148"/>
      <c r="P148"/>
      <c r="Q148"/>
      <c r="R148"/>
      <c r="S148"/>
      <c r="T148"/>
      <c r="U148"/>
      <c r="V148"/>
      <c r="W148"/>
      <c r="X148"/>
      <c r="Y148"/>
      <c r="Z148"/>
      <c r="AA148"/>
      <c r="AB148"/>
      <c r="AC148"/>
      <c r="AD148"/>
      <c r="AE148"/>
      <c r="AF148"/>
      <c r="AG148"/>
      <c r="AH148"/>
      <c r="AI148"/>
      <c r="AJ148"/>
      <c r="AK148"/>
      <c r="AL148"/>
      <c r="AM148"/>
      <c r="AN148"/>
    </row>
    <row r="149" spans="2:40">
      <c r="B149"/>
      <c r="C149"/>
      <c r="D149"/>
      <c r="E149"/>
      <c r="F149"/>
      <c r="G149"/>
      <c r="H149"/>
      <c r="I149"/>
      <c r="J149"/>
      <c r="K149"/>
      <c r="L149"/>
      <c r="M149"/>
      <c r="N149"/>
      <c r="O149"/>
      <c r="P149"/>
      <c r="Q149"/>
      <c r="R149"/>
      <c r="S149"/>
      <c r="T149"/>
      <c r="U149"/>
      <c r="V149"/>
      <c r="W149"/>
      <c r="X149"/>
      <c r="Y149"/>
      <c r="Z149"/>
      <c r="AA149"/>
      <c r="AB149"/>
      <c r="AC149"/>
      <c r="AD149"/>
      <c r="AE149"/>
      <c r="AF149"/>
      <c r="AG149"/>
      <c r="AH149"/>
      <c r="AI149"/>
      <c r="AJ149"/>
      <c r="AK149"/>
      <c r="AL149"/>
      <c r="AM149"/>
      <c r="AN149"/>
    </row>
    <row r="150" spans="2:40">
      <c r="B150"/>
      <c r="C150"/>
      <c r="D150"/>
      <c r="E150"/>
      <c r="F150"/>
      <c r="G150"/>
      <c r="H150"/>
      <c r="I150"/>
      <c r="J150"/>
      <c r="K150"/>
      <c r="L150"/>
      <c r="M150"/>
      <c r="N150"/>
      <c r="O150"/>
      <c r="P150"/>
      <c r="Q150"/>
      <c r="R150"/>
      <c r="S150"/>
      <c r="T150"/>
      <c r="U150"/>
      <c r="V150"/>
      <c r="W150"/>
      <c r="X150"/>
      <c r="Y150"/>
      <c r="Z150"/>
      <c r="AA150"/>
      <c r="AB150"/>
      <c r="AC150"/>
      <c r="AD150"/>
      <c r="AE150"/>
      <c r="AF150"/>
      <c r="AG150"/>
      <c r="AH150"/>
      <c r="AI150"/>
      <c r="AJ150"/>
      <c r="AK150"/>
      <c r="AL150"/>
      <c r="AM150"/>
      <c r="AN150"/>
    </row>
    <row r="151" spans="2:40">
      <c r="B151"/>
      <c r="C151"/>
      <c r="D151"/>
      <c r="E151"/>
      <c r="F151"/>
      <c r="G151"/>
      <c r="H151"/>
      <c r="I151"/>
      <c r="J151"/>
      <c r="K151"/>
      <c r="L151"/>
      <c r="M151"/>
      <c r="N151"/>
      <c r="O151"/>
      <c r="P151"/>
      <c r="Q151"/>
      <c r="R151"/>
      <c r="S151"/>
      <c r="T151"/>
      <c r="U151"/>
      <c r="V151"/>
      <c r="W151"/>
      <c r="X151"/>
      <c r="Y151"/>
      <c r="Z151"/>
      <c r="AA151"/>
      <c r="AB151"/>
      <c r="AC151"/>
      <c r="AD151"/>
      <c r="AE151"/>
      <c r="AF151"/>
      <c r="AG151"/>
      <c r="AH151"/>
      <c r="AI151"/>
      <c r="AJ151"/>
      <c r="AK151"/>
      <c r="AL151"/>
      <c r="AM151"/>
      <c r="AN151"/>
    </row>
    <row r="152" spans="2:40">
      <c r="B152"/>
      <c r="C152"/>
      <c r="D152"/>
      <c r="E152"/>
      <c r="F152"/>
      <c r="G152"/>
      <c r="H152"/>
      <c r="I152"/>
      <c r="J152"/>
      <c r="K152"/>
      <c r="L152"/>
      <c r="M152"/>
      <c r="N152"/>
      <c r="O152"/>
      <c r="P152"/>
      <c r="Q152"/>
      <c r="R152"/>
      <c r="S152"/>
      <c r="T152"/>
      <c r="U152"/>
      <c r="V152"/>
      <c r="W152"/>
      <c r="X152"/>
      <c r="Y152"/>
      <c r="Z152"/>
      <c r="AA152"/>
      <c r="AB152"/>
      <c r="AC152"/>
      <c r="AD152"/>
      <c r="AE152"/>
      <c r="AF152"/>
      <c r="AG152"/>
      <c r="AH152"/>
      <c r="AI152"/>
      <c r="AJ152"/>
      <c r="AK152"/>
      <c r="AL152"/>
      <c r="AM152"/>
      <c r="AN152"/>
    </row>
    <row r="153" spans="2:40">
      <c r="B153"/>
      <c r="C153"/>
      <c r="D153"/>
      <c r="E153"/>
      <c r="F153"/>
      <c r="G153"/>
      <c r="H153"/>
      <c r="I153"/>
      <c r="J153"/>
      <c r="K153"/>
      <c r="L153"/>
      <c r="M153"/>
      <c r="N153"/>
      <c r="O153"/>
      <c r="P153"/>
      <c r="Q153"/>
      <c r="R153"/>
      <c r="S153"/>
      <c r="T153"/>
      <c r="U153"/>
      <c r="V153"/>
      <c r="W153"/>
      <c r="X153"/>
      <c r="Y153"/>
      <c r="Z153"/>
      <c r="AA153"/>
      <c r="AB153"/>
      <c r="AC153"/>
      <c r="AD153"/>
      <c r="AE153"/>
      <c r="AF153"/>
      <c r="AG153"/>
      <c r="AH153"/>
      <c r="AI153"/>
      <c r="AJ153"/>
      <c r="AK153"/>
      <c r="AL153"/>
      <c r="AM153"/>
      <c r="AN153"/>
    </row>
    <row r="154" spans="2:40">
      <c r="B154"/>
      <c r="C154"/>
      <c r="D154"/>
      <c r="E154"/>
      <c r="F154"/>
      <c r="G154"/>
      <c r="H154"/>
      <c r="I154"/>
      <c r="J154"/>
      <c r="K154"/>
      <c r="L154"/>
      <c r="M154"/>
      <c r="N154"/>
      <c r="O154"/>
      <c r="P154"/>
      <c r="Q154"/>
      <c r="R154"/>
      <c r="S154"/>
      <c r="T154"/>
      <c r="U154"/>
      <c r="V154"/>
      <c r="W154"/>
      <c r="X154"/>
      <c r="Y154"/>
      <c r="Z154"/>
      <c r="AA154"/>
      <c r="AB154"/>
      <c r="AC154"/>
      <c r="AD154"/>
      <c r="AE154"/>
      <c r="AF154"/>
      <c r="AG154"/>
      <c r="AH154"/>
      <c r="AI154"/>
      <c r="AJ154"/>
      <c r="AK154"/>
      <c r="AL154"/>
      <c r="AM154"/>
      <c r="AN154"/>
    </row>
    <row r="155" spans="2:40">
      <c r="B155"/>
      <c r="C155"/>
      <c r="D155"/>
      <c r="E155"/>
      <c r="F155"/>
      <c r="G155"/>
      <c r="H155"/>
      <c r="I155"/>
      <c r="J155"/>
      <c r="K155"/>
      <c r="L155"/>
      <c r="M155"/>
      <c r="N155"/>
      <c r="O155"/>
      <c r="P155"/>
      <c r="Q155"/>
      <c r="R155"/>
      <c r="S155"/>
      <c r="T155"/>
      <c r="U155"/>
      <c r="V155"/>
      <c r="W155"/>
      <c r="X155"/>
      <c r="Y155"/>
      <c r="Z155"/>
      <c r="AA155"/>
      <c r="AB155"/>
      <c r="AC155"/>
      <c r="AD155"/>
      <c r="AE155"/>
      <c r="AF155"/>
      <c r="AG155"/>
      <c r="AH155"/>
      <c r="AI155"/>
      <c r="AJ155"/>
      <c r="AK155"/>
      <c r="AL155"/>
      <c r="AM155"/>
      <c r="AN155"/>
    </row>
    <row r="156" spans="2:40">
      <c r="B156"/>
      <c r="C156"/>
      <c r="D156"/>
      <c r="E156"/>
      <c r="F156"/>
      <c r="G156"/>
      <c r="H156"/>
      <c r="I156"/>
      <c r="J156"/>
      <c r="K156"/>
      <c r="L156"/>
      <c r="M156"/>
      <c r="N156"/>
      <c r="O156"/>
      <c r="P156"/>
      <c r="Q156"/>
      <c r="R156"/>
      <c r="S156"/>
      <c r="T156"/>
      <c r="U156"/>
      <c r="V156"/>
      <c r="W156"/>
      <c r="X156"/>
      <c r="Y156"/>
      <c r="Z156"/>
      <c r="AA156"/>
      <c r="AB156"/>
      <c r="AC156"/>
      <c r="AD156"/>
      <c r="AE156"/>
      <c r="AF156"/>
      <c r="AG156"/>
      <c r="AH156"/>
      <c r="AI156"/>
      <c r="AJ156"/>
      <c r="AK156"/>
      <c r="AL156"/>
      <c r="AM156"/>
      <c r="AN156"/>
    </row>
    <row r="157" spans="2:40">
      <c r="B157"/>
      <c r="C157"/>
      <c r="D157"/>
      <c r="E157"/>
      <c r="F157"/>
      <c r="G157"/>
      <c r="H157"/>
      <c r="I157"/>
      <c r="J157"/>
      <c r="K157"/>
      <c r="L157"/>
      <c r="M157"/>
      <c r="N157"/>
      <c r="O157"/>
      <c r="P157"/>
      <c r="Q157"/>
      <c r="R157"/>
      <c r="S157"/>
      <c r="T157"/>
      <c r="U157"/>
      <c r="V157"/>
      <c r="W157"/>
      <c r="X157"/>
      <c r="Y157"/>
      <c r="Z157"/>
      <c r="AA157"/>
      <c r="AB157"/>
      <c r="AC157"/>
      <c r="AD157"/>
      <c r="AE157"/>
      <c r="AF157"/>
      <c r="AG157"/>
      <c r="AH157"/>
      <c r="AI157"/>
      <c r="AJ157"/>
      <c r="AK157"/>
      <c r="AL157"/>
      <c r="AM157"/>
      <c r="AN157"/>
    </row>
    <row r="158" spans="2:40">
      <c r="B158"/>
      <c r="C158"/>
      <c r="D158"/>
      <c r="E158"/>
      <c r="F158"/>
      <c r="G158"/>
      <c r="H158"/>
      <c r="I158"/>
      <c r="J158"/>
      <c r="K158"/>
      <c r="L158"/>
      <c r="M158"/>
      <c r="N158"/>
      <c r="O158"/>
      <c r="P158"/>
      <c r="Q158"/>
      <c r="R158"/>
      <c r="S158"/>
      <c r="T158"/>
      <c r="U158"/>
      <c r="V158"/>
      <c r="W158"/>
      <c r="X158"/>
      <c r="Y158"/>
      <c r="Z158"/>
      <c r="AA158"/>
      <c r="AB158"/>
      <c r="AC158"/>
      <c r="AD158"/>
      <c r="AE158"/>
      <c r="AF158"/>
      <c r="AG158"/>
      <c r="AH158"/>
      <c r="AI158"/>
      <c r="AJ158"/>
      <c r="AK158"/>
      <c r="AL158"/>
      <c r="AM158"/>
      <c r="AN158"/>
    </row>
    <row r="159" spans="2:40">
      <c r="B159"/>
      <c r="C159"/>
      <c r="D159"/>
      <c r="E159"/>
      <c r="F159"/>
      <c r="G159"/>
      <c r="H159"/>
      <c r="I159"/>
      <c r="J159"/>
      <c r="K159"/>
      <c r="L159"/>
      <c r="M159"/>
      <c r="N159"/>
      <c r="O159"/>
      <c r="P159"/>
      <c r="Q159"/>
      <c r="R159"/>
      <c r="S159"/>
      <c r="T159"/>
      <c r="U159"/>
      <c r="V159"/>
      <c r="W159"/>
      <c r="X159"/>
      <c r="Y159"/>
      <c r="Z159"/>
      <c r="AA159"/>
      <c r="AB159"/>
      <c r="AC159"/>
      <c r="AD159"/>
      <c r="AE159"/>
      <c r="AF159"/>
      <c r="AG159"/>
      <c r="AH159"/>
      <c r="AI159"/>
      <c r="AJ159"/>
      <c r="AK159"/>
      <c r="AL159"/>
      <c r="AM159"/>
      <c r="AN159"/>
    </row>
    <row r="160" spans="2:40">
      <c r="B160"/>
      <c r="C160"/>
      <c r="D160"/>
      <c r="E160"/>
      <c r="F160"/>
      <c r="G160"/>
      <c r="H160"/>
      <c r="I160"/>
      <c r="J160"/>
      <c r="K160"/>
      <c r="L160"/>
      <c r="M160"/>
      <c r="N160"/>
      <c r="O160"/>
      <c r="P160"/>
      <c r="Q160"/>
      <c r="R160"/>
      <c r="S160"/>
      <c r="T160"/>
      <c r="U160"/>
      <c r="V160"/>
      <c r="W160"/>
      <c r="X160"/>
      <c r="Y160"/>
      <c r="Z160"/>
      <c r="AA160"/>
      <c r="AB160"/>
      <c r="AC160"/>
      <c r="AD160"/>
      <c r="AE160"/>
      <c r="AF160"/>
      <c r="AG160"/>
      <c r="AH160"/>
      <c r="AI160"/>
      <c r="AJ160"/>
      <c r="AK160"/>
      <c r="AL160"/>
      <c r="AM160"/>
      <c r="AN160"/>
    </row>
    <row r="161" spans="2:40">
      <c r="B161"/>
      <c r="C161"/>
      <c r="D161"/>
      <c r="E161"/>
      <c r="F161"/>
      <c r="G161"/>
      <c r="H161"/>
      <c r="I161"/>
      <c r="J161"/>
      <c r="K161"/>
      <c r="L161"/>
      <c r="M161"/>
      <c r="N161"/>
      <c r="O161"/>
      <c r="P161"/>
      <c r="Q161"/>
      <c r="R161"/>
      <c r="S161"/>
      <c r="T161"/>
      <c r="U161"/>
      <c r="V161"/>
      <c r="W161"/>
      <c r="X161"/>
      <c r="Y161"/>
      <c r="Z161"/>
      <c r="AA161"/>
      <c r="AB161"/>
      <c r="AC161"/>
      <c r="AD161"/>
      <c r="AE161"/>
      <c r="AF161"/>
      <c r="AG161"/>
      <c r="AH161"/>
      <c r="AI161"/>
      <c r="AJ161"/>
      <c r="AK161"/>
      <c r="AL161"/>
      <c r="AM161"/>
      <c r="AN161"/>
    </row>
    <row r="162" spans="2:40">
      <c r="B162"/>
      <c r="C162"/>
      <c r="D162"/>
      <c r="E162"/>
      <c r="F162"/>
      <c r="G162"/>
      <c r="H162"/>
      <c r="I162"/>
      <c r="J162"/>
      <c r="K162"/>
      <c r="L162"/>
      <c r="M162"/>
      <c r="N162"/>
      <c r="O162"/>
      <c r="P162"/>
      <c r="Q162"/>
      <c r="R162"/>
      <c r="S162"/>
      <c r="T162"/>
      <c r="U162"/>
      <c r="V162"/>
      <c r="W162"/>
      <c r="X162"/>
      <c r="Y162"/>
      <c r="Z162"/>
      <c r="AA162"/>
      <c r="AB162"/>
      <c r="AC162"/>
      <c r="AD162"/>
      <c r="AE162"/>
      <c r="AF162"/>
      <c r="AG162"/>
      <c r="AH162"/>
      <c r="AI162"/>
      <c r="AJ162"/>
      <c r="AK162"/>
      <c r="AL162"/>
      <c r="AM162"/>
      <c r="AN162"/>
    </row>
    <row r="163" spans="2:40">
      <c r="B163"/>
      <c r="C163"/>
      <c r="D163"/>
      <c r="E163"/>
      <c r="F163"/>
      <c r="G163"/>
      <c r="H163"/>
      <c r="I163"/>
      <c r="J163"/>
      <c r="K163"/>
      <c r="L163"/>
      <c r="M163"/>
      <c r="N163"/>
      <c r="O163"/>
      <c r="P163"/>
      <c r="Q163"/>
      <c r="R163"/>
      <c r="S163"/>
      <c r="T163"/>
      <c r="U163"/>
      <c r="V163"/>
      <c r="W163"/>
      <c r="X163"/>
      <c r="Y163"/>
      <c r="Z163"/>
      <c r="AA163"/>
      <c r="AB163"/>
      <c r="AC163"/>
      <c r="AD163"/>
      <c r="AE163"/>
      <c r="AF163"/>
      <c r="AG163"/>
      <c r="AH163"/>
      <c r="AI163"/>
      <c r="AJ163"/>
      <c r="AK163"/>
      <c r="AL163"/>
      <c r="AM163"/>
      <c r="AN163"/>
    </row>
    <row r="164" spans="2:40">
      <c r="B164"/>
      <c r="C164"/>
      <c r="D164"/>
      <c r="E164"/>
      <c r="F164"/>
      <c r="G164"/>
      <c r="H164"/>
      <c r="I164"/>
      <c r="J164"/>
      <c r="K164"/>
      <c r="L164"/>
      <c r="M164"/>
      <c r="N164"/>
      <c r="O164"/>
      <c r="P164"/>
      <c r="Q164"/>
      <c r="R164"/>
      <c r="S164"/>
      <c r="T164"/>
      <c r="U164"/>
      <c r="V164"/>
      <c r="W164"/>
      <c r="X164"/>
      <c r="Y164"/>
      <c r="Z164"/>
      <c r="AA164"/>
      <c r="AB164"/>
      <c r="AC164"/>
      <c r="AD164"/>
      <c r="AE164"/>
      <c r="AF164"/>
      <c r="AG164"/>
      <c r="AH164"/>
      <c r="AI164"/>
      <c r="AJ164"/>
      <c r="AK164"/>
      <c r="AL164"/>
      <c r="AM164"/>
      <c r="AN164"/>
    </row>
    <row r="165" spans="2:40">
      <c r="B165"/>
      <c r="C165"/>
      <c r="D165"/>
      <c r="E165"/>
      <c r="F165"/>
      <c r="G165"/>
      <c r="H165"/>
      <c r="I165"/>
      <c r="J165"/>
      <c r="K165"/>
      <c r="L165"/>
      <c r="M165"/>
      <c r="N165"/>
      <c r="O165"/>
      <c r="P165"/>
      <c r="Q165"/>
      <c r="R165"/>
      <c r="S165"/>
      <c r="T165"/>
      <c r="U165"/>
      <c r="V165"/>
      <c r="W165"/>
      <c r="X165"/>
      <c r="Y165"/>
      <c r="Z165"/>
      <c r="AA165"/>
      <c r="AB165"/>
      <c r="AC165"/>
      <c r="AD165"/>
      <c r="AE165"/>
      <c r="AF165"/>
      <c r="AG165"/>
      <c r="AH165"/>
      <c r="AI165"/>
      <c r="AJ165"/>
      <c r="AK165"/>
      <c r="AL165"/>
      <c r="AM165"/>
      <c r="AN165"/>
    </row>
    <row r="166" spans="2:40">
      <c r="B166"/>
      <c r="C166"/>
      <c r="D166"/>
      <c r="E166"/>
      <c r="F166"/>
      <c r="G166"/>
      <c r="H166"/>
      <c r="I166"/>
      <c r="J166"/>
      <c r="K166"/>
      <c r="L166"/>
      <c r="M166"/>
      <c r="N166"/>
      <c r="O166"/>
      <c r="P166"/>
      <c r="Q166"/>
      <c r="R166"/>
      <c r="S166"/>
      <c r="T166"/>
      <c r="U166"/>
      <c r="V166"/>
      <c r="W166"/>
      <c r="X166"/>
      <c r="Y166"/>
      <c r="Z166"/>
      <c r="AA166"/>
      <c r="AB166"/>
      <c r="AC166"/>
      <c r="AD166"/>
      <c r="AE166"/>
      <c r="AF166"/>
      <c r="AG166"/>
      <c r="AH166"/>
      <c r="AI166"/>
      <c r="AJ166"/>
      <c r="AK166"/>
      <c r="AL166"/>
      <c r="AM166"/>
      <c r="AN166"/>
    </row>
    <row r="167" spans="2:40">
      <c r="B167"/>
      <c r="C167"/>
      <c r="D167"/>
      <c r="E167"/>
      <c r="F167"/>
      <c r="G167"/>
      <c r="H167"/>
      <c r="I167"/>
      <c r="J167"/>
      <c r="K167"/>
      <c r="L167"/>
      <c r="M167"/>
      <c r="N167"/>
      <c r="O167"/>
      <c r="P167"/>
      <c r="Q167"/>
      <c r="R167"/>
      <c r="S167"/>
      <c r="T167"/>
      <c r="U167"/>
      <c r="V167"/>
      <c r="W167"/>
      <c r="X167"/>
      <c r="Y167"/>
      <c r="Z167"/>
      <c r="AA167"/>
      <c r="AB167"/>
      <c r="AC167"/>
      <c r="AD167"/>
      <c r="AE167"/>
      <c r="AF167"/>
      <c r="AG167"/>
      <c r="AH167"/>
      <c r="AI167"/>
      <c r="AJ167"/>
      <c r="AK167"/>
      <c r="AL167"/>
      <c r="AM167"/>
      <c r="AN167"/>
    </row>
    <row r="168" spans="2:40">
      <c r="B168"/>
      <c r="C168"/>
      <c r="D168"/>
      <c r="E168"/>
      <c r="F168"/>
      <c r="G168"/>
      <c r="H168"/>
      <c r="I168"/>
      <c r="J168"/>
      <c r="K168"/>
      <c r="L168"/>
      <c r="M168"/>
      <c r="N168"/>
      <c r="O168"/>
      <c r="P168"/>
      <c r="Q168"/>
      <c r="R168"/>
      <c r="S168"/>
      <c r="T168"/>
      <c r="U168"/>
      <c r="V168"/>
      <c r="W168"/>
      <c r="X168"/>
      <c r="Y168"/>
      <c r="Z168"/>
      <c r="AA168"/>
      <c r="AB168"/>
      <c r="AC168"/>
      <c r="AD168"/>
      <c r="AE168"/>
      <c r="AF168"/>
      <c r="AG168"/>
      <c r="AH168"/>
      <c r="AI168"/>
      <c r="AJ168"/>
      <c r="AK168"/>
      <c r="AL168"/>
      <c r="AM168"/>
      <c r="AN168"/>
    </row>
    <row r="169" spans="2:40">
      <c r="B169"/>
      <c r="C169"/>
      <c r="D169"/>
      <c r="E169"/>
      <c r="F169"/>
      <c r="G169"/>
      <c r="H169"/>
      <c r="I169"/>
      <c r="J169"/>
      <c r="K169"/>
      <c r="L169"/>
      <c r="M169"/>
      <c r="N169"/>
      <c r="O169"/>
      <c r="P169"/>
      <c r="Q169"/>
      <c r="R169"/>
      <c r="S169"/>
      <c r="T169"/>
      <c r="U169"/>
      <c r="V169"/>
      <c r="W169"/>
      <c r="X169"/>
      <c r="Y169"/>
      <c r="Z169"/>
      <c r="AA169"/>
      <c r="AB169"/>
      <c r="AC169"/>
      <c r="AD169"/>
      <c r="AE169"/>
      <c r="AF169"/>
      <c r="AG169"/>
      <c r="AH169"/>
      <c r="AI169"/>
      <c r="AJ169"/>
      <c r="AK169"/>
      <c r="AL169"/>
      <c r="AM169"/>
      <c r="AN169"/>
    </row>
    <row r="170" spans="2:40">
      <c r="B170"/>
      <c r="C170"/>
      <c r="D170"/>
      <c r="E170"/>
      <c r="F170"/>
      <c r="G170"/>
      <c r="H170"/>
      <c r="I170"/>
      <c r="J170"/>
      <c r="K170"/>
      <c r="L170"/>
      <c r="M170"/>
      <c r="N170"/>
      <c r="O170"/>
      <c r="P170"/>
      <c r="Q170"/>
      <c r="R170"/>
      <c r="S170"/>
      <c r="T170"/>
      <c r="U170"/>
      <c r="V170"/>
      <c r="W170"/>
      <c r="X170"/>
      <c r="Y170"/>
      <c r="Z170"/>
      <c r="AA170"/>
      <c r="AB170"/>
      <c r="AC170"/>
      <c r="AD170"/>
      <c r="AE170"/>
      <c r="AF170"/>
      <c r="AG170"/>
      <c r="AH170"/>
      <c r="AI170"/>
      <c r="AJ170"/>
      <c r="AK170"/>
      <c r="AL170"/>
      <c r="AM170"/>
      <c r="AN170"/>
    </row>
    <row r="171" spans="2:40">
      <c r="B171"/>
      <c r="C171"/>
      <c r="D171"/>
      <c r="E171"/>
      <c r="F171"/>
      <c r="G171"/>
      <c r="H171"/>
      <c r="I171"/>
      <c r="J171"/>
      <c r="K171"/>
      <c r="L171"/>
      <c r="M171"/>
      <c r="N171"/>
      <c r="O171"/>
      <c r="P171"/>
      <c r="Q171"/>
      <c r="R171"/>
      <c r="S171"/>
      <c r="T171"/>
      <c r="U171"/>
      <c r="V171"/>
      <c r="W171"/>
      <c r="X171"/>
      <c r="Y171"/>
      <c r="Z171"/>
      <c r="AA171"/>
      <c r="AB171"/>
      <c r="AC171"/>
      <c r="AD171"/>
      <c r="AE171"/>
      <c r="AF171"/>
      <c r="AG171"/>
      <c r="AH171"/>
      <c r="AI171"/>
      <c r="AJ171"/>
      <c r="AK171"/>
      <c r="AL171"/>
      <c r="AM171"/>
      <c r="AN171"/>
    </row>
    <row r="172" spans="2:40">
      <c r="B172"/>
      <c r="C172"/>
      <c r="D172"/>
      <c r="E172"/>
      <c r="F172"/>
      <c r="G172"/>
      <c r="H172"/>
      <c r="I172"/>
      <c r="J172"/>
      <c r="K172"/>
      <c r="L172"/>
      <c r="M172"/>
      <c r="N172"/>
      <c r="O172"/>
      <c r="P172"/>
      <c r="Q172"/>
      <c r="R172"/>
      <c r="S172"/>
      <c r="T172"/>
      <c r="U172"/>
      <c r="V172"/>
      <c r="W172"/>
      <c r="X172"/>
      <c r="Y172"/>
      <c r="Z172"/>
      <c r="AA172"/>
      <c r="AB172"/>
      <c r="AC172"/>
      <c r="AD172"/>
      <c r="AE172"/>
      <c r="AF172"/>
      <c r="AG172"/>
      <c r="AH172"/>
      <c r="AI172"/>
      <c r="AJ172"/>
      <c r="AK172"/>
      <c r="AL172"/>
      <c r="AM172"/>
      <c r="AN172"/>
    </row>
    <row r="173" spans="2:40">
      <c r="B173"/>
      <c r="C173"/>
      <c r="D173"/>
      <c r="E173"/>
      <c r="F173"/>
      <c r="G173"/>
      <c r="H173"/>
      <c r="I173"/>
      <c r="J173"/>
      <c r="K173"/>
      <c r="L173"/>
      <c r="M173"/>
      <c r="N173"/>
      <c r="O173"/>
      <c r="P173"/>
      <c r="Q173"/>
      <c r="R173"/>
      <c r="S173"/>
      <c r="T173"/>
      <c r="U173"/>
      <c r="V173"/>
      <c r="W173"/>
      <c r="X173"/>
      <c r="Y173"/>
      <c r="Z173"/>
      <c r="AA173"/>
      <c r="AB173"/>
      <c r="AC173"/>
      <c r="AD173"/>
      <c r="AE173"/>
      <c r="AF173"/>
      <c r="AG173"/>
      <c r="AH173"/>
      <c r="AI173"/>
      <c r="AJ173"/>
      <c r="AK173"/>
      <c r="AL173"/>
      <c r="AM173"/>
      <c r="AN173"/>
    </row>
    <row r="174" spans="2:40">
      <c r="B174"/>
      <c r="C174"/>
      <c r="D174"/>
      <c r="E174"/>
      <c r="F174"/>
      <c r="G174"/>
      <c r="H174"/>
      <c r="I174"/>
      <c r="J174"/>
      <c r="K174"/>
      <c r="L174"/>
      <c r="M174"/>
      <c r="N174"/>
      <c r="O174"/>
      <c r="P174"/>
      <c r="Q174"/>
      <c r="R174"/>
      <c r="S174"/>
      <c r="T174"/>
      <c r="U174"/>
      <c r="V174"/>
      <c r="W174"/>
      <c r="X174"/>
      <c r="Y174"/>
      <c r="Z174"/>
      <c r="AA174"/>
      <c r="AB174"/>
      <c r="AC174"/>
      <c r="AD174"/>
      <c r="AE174"/>
      <c r="AF174"/>
      <c r="AG174"/>
      <c r="AH174"/>
      <c r="AI174"/>
      <c r="AJ174"/>
      <c r="AK174"/>
      <c r="AL174"/>
      <c r="AM174"/>
      <c r="AN174"/>
    </row>
    <row r="175" spans="2:40">
      <c r="B175"/>
      <c r="C175"/>
      <c r="D175"/>
      <c r="E175"/>
      <c r="F175"/>
      <c r="G175"/>
      <c r="H175"/>
      <c r="I175"/>
      <c r="J175"/>
      <c r="K175"/>
      <c r="L175"/>
      <c r="M175"/>
      <c r="N175"/>
      <c r="O175"/>
      <c r="P175"/>
      <c r="Q175"/>
      <c r="R175"/>
      <c r="S175"/>
      <c r="T175"/>
      <c r="U175"/>
      <c r="V175"/>
      <c r="W175"/>
      <c r="X175"/>
      <c r="Y175"/>
      <c r="Z175"/>
      <c r="AA175"/>
      <c r="AB175"/>
      <c r="AC175"/>
      <c r="AD175"/>
      <c r="AE175"/>
      <c r="AF175"/>
      <c r="AG175"/>
      <c r="AH175"/>
      <c r="AI175"/>
      <c r="AJ175"/>
      <c r="AK175"/>
      <c r="AL175"/>
      <c r="AM175"/>
      <c r="AN175"/>
    </row>
    <row r="176" spans="2:40">
      <c r="B176"/>
      <c r="C176"/>
      <c r="D176"/>
      <c r="E176"/>
      <c r="F176"/>
      <c r="G176"/>
      <c r="H176"/>
      <c r="I176"/>
      <c r="J176"/>
      <c r="K176"/>
      <c r="L176"/>
      <c r="M176"/>
      <c r="N176"/>
      <c r="O176"/>
      <c r="P176"/>
      <c r="Q176"/>
      <c r="R176"/>
      <c r="S176"/>
      <c r="T176"/>
      <c r="U176"/>
      <c r="V176"/>
      <c r="W176"/>
      <c r="X176"/>
      <c r="Y176"/>
      <c r="Z176"/>
      <c r="AA176"/>
      <c r="AB176"/>
      <c r="AC176"/>
      <c r="AD176"/>
      <c r="AE176"/>
      <c r="AF176"/>
      <c r="AG176"/>
      <c r="AH176"/>
      <c r="AI176"/>
      <c r="AJ176"/>
      <c r="AK176"/>
      <c r="AL176"/>
      <c r="AM176"/>
      <c r="AN176"/>
    </row>
    <row r="177" spans="2:40">
      <c r="B177"/>
      <c r="C177"/>
      <c r="D177"/>
      <c r="E177"/>
      <c r="F177"/>
      <c r="G177"/>
      <c r="H177"/>
      <c r="I177"/>
      <c r="J177"/>
      <c r="K177"/>
      <c r="L177"/>
      <c r="M177"/>
      <c r="N177"/>
      <c r="O177"/>
      <c r="P177"/>
      <c r="Q177"/>
      <c r="R177"/>
      <c r="S177"/>
      <c r="T177"/>
      <c r="U177"/>
      <c r="V177"/>
      <c r="W177"/>
      <c r="X177"/>
      <c r="Y177"/>
      <c r="Z177"/>
      <c r="AA177"/>
      <c r="AB177"/>
      <c r="AC177"/>
      <c r="AD177"/>
      <c r="AE177"/>
      <c r="AF177"/>
      <c r="AG177"/>
      <c r="AH177"/>
      <c r="AI177"/>
      <c r="AJ177"/>
      <c r="AK177"/>
      <c r="AL177"/>
      <c r="AM177"/>
      <c r="AN177"/>
    </row>
    <row r="178" spans="2:40">
      <c r="B178"/>
      <c r="C178"/>
      <c r="D178"/>
      <c r="E178"/>
      <c r="F178"/>
      <c r="G178"/>
      <c r="H178"/>
      <c r="I178"/>
      <c r="J178"/>
      <c r="K178"/>
      <c r="L178"/>
      <c r="M178"/>
      <c r="N178"/>
      <c r="O178"/>
      <c r="P178"/>
      <c r="Q178"/>
      <c r="R178"/>
      <c r="S178"/>
      <c r="T178"/>
      <c r="U178"/>
      <c r="V178"/>
      <c r="W178"/>
      <c r="X178"/>
      <c r="Y178"/>
      <c r="Z178"/>
      <c r="AA178"/>
      <c r="AB178"/>
      <c r="AC178"/>
      <c r="AD178"/>
      <c r="AE178"/>
      <c r="AF178"/>
      <c r="AG178"/>
      <c r="AH178"/>
      <c r="AI178"/>
      <c r="AJ178"/>
      <c r="AK178"/>
      <c r="AL178"/>
      <c r="AM178"/>
      <c r="AN178"/>
    </row>
    <row r="179" spans="2:40">
      <c r="B179"/>
      <c r="C179"/>
      <c r="D179"/>
      <c r="E179"/>
      <c r="F179"/>
      <c r="G179"/>
      <c r="H179"/>
      <c r="I179"/>
      <c r="J179"/>
      <c r="K179"/>
      <c r="L179"/>
      <c r="M179"/>
      <c r="N179"/>
      <c r="O179"/>
      <c r="P179"/>
      <c r="Q179"/>
      <c r="R179"/>
      <c r="S179"/>
      <c r="T179"/>
      <c r="U179"/>
      <c r="V179"/>
      <c r="W179"/>
      <c r="X179"/>
      <c r="Y179"/>
      <c r="Z179"/>
      <c r="AA179"/>
      <c r="AB179"/>
      <c r="AC179"/>
      <c r="AD179"/>
      <c r="AE179"/>
      <c r="AF179"/>
      <c r="AG179"/>
      <c r="AH179"/>
      <c r="AI179"/>
      <c r="AJ179"/>
      <c r="AK179"/>
      <c r="AL179"/>
      <c r="AM179"/>
      <c r="AN179"/>
    </row>
    <row r="180" spans="2:40">
      <c r="B180"/>
      <c r="C180"/>
      <c r="D180"/>
      <c r="E180"/>
      <c r="F180"/>
      <c r="G180"/>
      <c r="H180"/>
      <c r="I180"/>
      <c r="J180"/>
      <c r="K180"/>
      <c r="L180"/>
      <c r="M180"/>
      <c r="N180"/>
      <c r="O180"/>
      <c r="P180"/>
      <c r="Q180"/>
      <c r="R180"/>
      <c r="S180"/>
      <c r="T180"/>
      <c r="U180"/>
      <c r="V180"/>
      <c r="W180"/>
      <c r="X180"/>
      <c r="Y180"/>
      <c r="Z180"/>
      <c r="AA180"/>
      <c r="AB180"/>
      <c r="AC180"/>
      <c r="AD180"/>
      <c r="AE180"/>
      <c r="AF180"/>
      <c r="AG180"/>
      <c r="AH180"/>
      <c r="AI180"/>
      <c r="AJ180"/>
      <c r="AK180"/>
      <c r="AL180"/>
      <c r="AM180"/>
      <c r="AN180"/>
    </row>
    <row r="181" spans="2:40">
      <c r="B181"/>
      <c r="C181"/>
      <c r="D181"/>
      <c r="E181"/>
      <c r="F181"/>
      <c r="G181"/>
      <c r="H181"/>
      <c r="I181"/>
      <c r="J181"/>
      <c r="K181"/>
      <c r="L181"/>
      <c r="M181"/>
      <c r="N181"/>
      <c r="O181"/>
      <c r="P181"/>
      <c r="Q181"/>
      <c r="R181"/>
      <c r="S181"/>
      <c r="T181"/>
      <c r="U181"/>
      <c r="V181"/>
      <c r="W181"/>
      <c r="X181"/>
      <c r="Y181"/>
      <c r="Z181"/>
      <c r="AA181"/>
      <c r="AB181"/>
      <c r="AC181"/>
      <c r="AD181"/>
      <c r="AE181"/>
      <c r="AF181"/>
      <c r="AG181"/>
      <c r="AH181"/>
      <c r="AI181"/>
      <c r="AJ181"/>
      <c r="AK181"/>
      <c r="AL181"/>
      <c r="AM181"/>
      <c r="AN181"/>
    </row>
    <row r="182" spans="2:40">
      <c r="B182"/>
      <c r="C182"/>
      <c r="D182"/>
      <c r="E182"/>
      <c r="F182"/>
      <c r="G182"/>
      <c r="H182"/>
      <c r="I182"/>
      <c r="J182"/>
      <c r="K182"/>
      <c r="L182"/>
      <c r="M182"/>
      <c r="N182"/>
      <c r="O182"/>
      <c r="P182"/>
      <c r="Q182"/>
      <c r="R182"/>
      <c r="S182"/>
      <c r="T182"/>
      <c r="U182"/>
      <c r="V182"/>
      <c r="W182"/>
      <c r="X182"/>
      <c r="Y182"/>
      <c r="Z182"/>
      <c r="AA182"/>
      <c r="AB182"/>
      <c r="AC182"/>
      <c r="AD182"/>
      <c r="AE182"/>
      <c r="AF182"/>
      <c r="AG182"/>
      <c r="AH182"/>
      <c r="AI182"/>
      <c r="AJ182"/>
      <c r="AK182"/>
      <c r="AL182"/>
      <c r="AM182"/>
      <c r="AN182"/>
    </row>
    <row r="183" spans="2:40">
      <c r="B183"/>
      <c r="C183"/>
      <c r="D183"/>
      <c r="E183"/>
      <c r="F183"/>
      <c r="G183"/>
      <c r="H183"/>
      <c r="I183"/>
      <c r="J183"/>
      <c r="K183"/>
      <c r="L183"/>
      <c r="M183"/>
      <c r="N183"/>
      <c r="O183"/>
      <c r="P183"/>
      <c r="Q183"/>
      <c r="R183"/>
      <c r="S183"/>
      <c r="T183"/>
      <c r="U183"/>
      <c r="V183"/>
      <c r="W183"/>
      <c r="X183"/>
      <c r="Y183"/>
      <c r="Z183"/>
      <c r="AA183"/>
      <c r="AB183"/>
      <c r="AC183"/>
      <c r="AD183"/>
      <c r="AE183"/>
      <c r="AF183"/>
      <c r="AG183"/>
      <c r="AH183"/>
      <c r="AI183"/>
      <c r="AJ183"/>
      <c r="AK183"/>
      <c r="AL183"/>
      <c r="AM183"/>
      <c r="AN183"/>
    </row>
    <row r="184" spans="2:40">
      <c r="B184"/>
      <c r="C184"/>
      <c r="D184"/>
      <c r="E184"/>
      <c r="F184"/>
      <c r="G184"/>
      <c r="H184"/>
      <c r="I184"/>
      <c r="J184"/>
      <c r="K184"/>
      <c r="L184"/>
      <c r="M184"/>
      <c r="N184"/>
      <c r="O184"/>
      <c r="P184"/>
      <c r="Q184"/>
      <c r="R184"/>
      <c r="S184"/>
      <c r="T184"/>
      <c r="U184"/>
      <c r="V184"/>
      <c r="W184"/>
      <c r="X184"/>
      <c r="Y184"/>
      <c r="Z184"/>
      <c r="AA184"/>
      <c r="AB184"/>
      <c r="AC184"/>
      <c r="AD184"/>
      <c r="AE184"/>
      <c r="AF184"/>
      <c r="AG184"/>
      <c r="AH184"/>
      <c r="AI184"/>
      <c r="AJ184"/>
      <c r="AK184"/>
      <c r="AL184"/>
      <c r="AM184"/>
      <c r="AN184"/>
    </row>
    <row r="185" spans="2:40">
      <c r="B185"/>
      <c r="C185"/>
      <c r="D185"/>
      <c r="E185"/>
      <c r="F185"/>
      <c r="G185"/>
      <c r="H185"/>
      <c r="I185"/>
      <c r="J185"/>
      <c r="K185"/>
      <c r="L185"/>
      <c r="M185"/>
      <c r="N185"/>
      <c r="O185"/>
      <c r="P185"/>
      <c r="Q185"/>
      <c r="R185"/>
      <c r="S185"/>
      <c r="T185"/>
      <c r="U185"/>
      <c r="V185"/>
      <c r="W185"/>
      <c r="X185"/>
      <c r="Y185"/>
      <c r="Z185"/>
      <c r="AA185"/>
      <c r="AB185"/>
      <c r="AC185"/>
      <c r="AD185"/>
      <c r="AE185"/>
      <c r="AF185"/>
      <c r="AG185"/>
      <c r="AH185"/>
      <c r="AI185"/>
      <c r="AJ185"/>
      <c r="AK185"/>
      <c r="AL185"/>
      <c r="AM185"/>
      <c r="AN185"/>
    </row>
    <row r="186" spans="2:40">
      <c r="B186"/>
      <c r="C186"/>
      <c r="D186"/>
      <c r="E186"/>
      <c r="F186"/>
      <c r="G186"/>
      <c r="H186"/>
      <c r="I186"/>
      <c r="J186"/>
      <c r="K186"/>
      <c r="L186"/>
      <c r="M186"/>
      <c r="N186"/>
      <c r="O186"/>
      <c r="P186"/>
      <c r="Q186"/>
      <c r="R186"/>
      <c r="S186"/>
      <c r="T186"/>
      <c r="U186"/>
      <c r="V186"/>
      <c r="W186"/>
      <c r="X186"/>
      <c r="Y186"/>
      <c r="Z186"/>
      <c r="AA186"/>
      <c r="AB186"/>
      <c r="AC186"/>
      <c r="AD186"/>
      <c r="AE186"/>
      <c r="AF186"/>
      <c r="AG186"/>
      <c r="AH186"/>
      <c r="AI186"/>
      <c r="AJ186"/>
      <c r="AK186"/>
      <c r="AL186"/>
      <c r="AM186"/>
      <c r="AN186"/>
    </row>
    <row r="187" spans="2:40">
      <c r="B187"/>
      <c r="C187"/>
      <c r="D187"/>
      <c r="E187"/>
      <c r="F187"/>
      <c r="G187"/>
      <c r="H187"/>
      <c r="I187"/>
      <c r="J187"/>
      <c r="K187"/>
      <c r="L187"/>
      <c r="M187"/>
      <c r="N187"/>
      <c r="O187"/>
      <c r="P187"/>
      <c r="Q187"/>
      <c r="R187"/>
      <c r="S187"/>
      <c r="T187"/>
      <c r="U187"/>
      <c r="V187"/>
      <c r="W187"/>
      <c r="X187"/>
      <c r="Y187"/>
      <c r="Z187"/>
      <c r="AA187"/>
      <c r="AB187"/>
      <c r="AC187"/>
      <c r="AD187"/>
      <c r="AE187"/>
      <c r="AF187"/>
      <c r="AG187"/>
      <c r="AH187"/>
      <c r="AI187"/>
      <c r="AJ187"/>
      <c r="AK187"/>
      <c r="AL187"/>
      <c r="AM187"/>
      <c r="AN187"/>
    </row>
  </sheetData>
  <sheetProtection algorithmName="SHA-512" hashValue="qv0TIVPzFrSrU6280rS5Lr/boQIvRl3JX4uXvigjxG2DXjPRY6BAEqmiPWp4SyNIIkhMvfkMqr4nLlizlk0X0g==" saltValue="1rtCH0bTioA3mjQnad9lew==" spinCount="100000" sheet="1" scenarios="1" formatCells="0" formatColumns="0" formatRows="0" insertColumns="0" insertRows="0" deleteColumns="0" deleteRows="0" selectLockedCells="1"/>
  <mergeCells count="154">
    <mergeCell ref="B95:F98"/>
    <mergeCell ref="N105:U105"/>
    <mergeCell ref="W105:AF105"/>
    <mergeCell ref="M95:AB95"/>
    <mergeCell ref="M96:AB96"/>
    <mergeCell ref="AC95:AN95"/>
    <mergeCell ref="AC96:AN96"/>
    <mergeCell ref="G99:L99"/>
    <mergeCell ref="M72:AB72"/>
    <mergeCell ref="AC72:AN72"/>
    <mergeCell ref="G76:L76"/>
    <mergeCell ref="G77:L77"/>
    <mergeCell ref="M76:AB76"/>
    <mergeCell ref="G90:L90"/>
    <mergeCell ref="G91:L92"/>
    <mergeCell ref="M86:AB86"/>
    <mergeCell ref="M87:AB87"/>
    <mergeCell ref="G95:L96"/>
    <mergeCell ref="G105:L105"/>
    <mergeCell ref="M91:AB92"/>
    <mergeCell ref="AC90:AN90"/>
    <mergeCell ref="AC91:AN92"/>
    <mergeCell ref="G86:L86"/>
    <mergeCell ref="G87:L87"/>
    <mergeCell ref="B99:F100"/>
    <mergeCell ref="B77:F77"/>
    <mergeCell ref="B76:F76"/>
    <mergeCell ref="AC66:AN67"/>
    <mergeCell ref="G71:L71"/>
    <mergeCell ref="M71:AB71"/>
    <mergeCell ref="AC71:AN71"/>
    <mergeCell ref="AC81:AN83"/>
    <mergeCell ref="G81:L82"/>
    <mergeCell ref="AC86:AN87"/>
    <mergeCell ref="G72:L72"/>
    <mergeCell ref="M77:AB78"/>
    <mergeCell ref="AC76:AN76"/>
    <mergeCell ref="AC77:AN78"/>
    <mergeCell ref="G66:L66"/>
    <mergeCell ref="G67:L67"/>
    <mergeCell ref="M66:AB66"/>
    <mergeCell ref="M67:AB67"/>
    <mergeCell ref="G100:L100"/>
    <mergeCell ref="M99:AB99"/>
    <mergeCell ref="M100:AB100"/>
    <mergeCell ref="AC99:AN99"/>
    <mergeCell ref="AC100:AN100"/>
    <mergeCell ref="M90:AB90"/>
    <mergeCell ref="G53:L53"/>
    <mergeCell ref="G55:L55"/>
    <mergeCell ref="B53:F53"/>
    <mergeCell ref="B55:F55"/>
    <mergeCell ref="G61:L62"/>
    <mergeCell ref="M59:AB59"/>
    <mergeCell ref="AC59:AN59"/>
    <mergeCell ref="G59:L60"/>
    <mergeCell ref="M60:AB61"/>
    <mergeCell ref="M62:AB63"/>
    <mergeCell ref="AC60:AN61"/>
    <mergeCell ref="AC62:AN63"/>
    <mergeCell ref="V53:AH53"/>
    <mergeCell ref="P53:U53"/>
    <mergeCell ref="G58:L58"/>
    <mergeCell ref="M58:AB58"/>
    <mergeCell ref="AC58:AN58"/>
    <mergeCell ref="A41:F41"/>
    <mergeCell ref="B43:F43"/>
    <mergeCell ref="N41:U41"/>
    <mergeCell ref="B40:AN40"/>
    <mergeCell ref="AI41:AN41"/>
    <mergeCell ref="B42:AN42"/>
    <mergeCell ref="V41:AH41"/>
    <mergeCell ref="D29:Q29"/>
    <mergeCell ref="R32:X32"/>
    <mergeCell ref="Y32:AN32"/>
    <mergeCell ref="A32:J32"/>
    <mergeCell ref="K32:Q32"/>
    <mergeCell ref="V29:AN29"/>
    <mergeCell ref="H37:Q37"/>
    <mergeCell ref="A33:H33"/>
    <mergeCell ref="I33:Q33"/>
    <mergeCell ref="A37:G37"/>
    <mergeCell ref="R33:X33"/>
    <mergeCell ref="Y33:AN33"/>
    <mergeCell ref="U14:AN14"/>
    <mergeCell ref="D7:Q7"/>
    <mergeCell ref="U7:AN7"/>
    <mergeCell ref="D11:Q11"/>
    <mergeCell ref="U11:AN11"/>
    <mergeCell ref="U8:AN8"/>
    <mergeCell ref="D8:Q8"/>
    <mergeCell ref="H5:J5"/>
    <mergeCell ref="Y5:AA5"/>
    <mergeCell ref="AB5:AE5"/>
    <mergeCell ref="D14:Q14"/>
    <mergeCell ref="AF5:AH5"/>
    <mergeCell ref="AI5:AM5"/>
    <mergeCell ref="A2:AH4"/>
    <mergeCell ref="V43:AH43"/>
    <mergeCell ref="V48:AH48"/>
    <mergeCell ref="G38:Q38"/>
    <mergeCell ref="R38:X38"/>
    <mergeCell ref="Y38:AN38"/>
    <mergeCell ref="G36:Q36"/>
    <mergeCell ref="R36:X36"/>
    <mergeCell ref="Y36:AN36"/>
    <mergeCell ref="R37:Z37"/>
    <mergeCell ref="AA37:AN37"/>
    <mergeCell ref="A38:F38"/>
    <mergeCell ref="A36:F36"/>
    <mergeCell ref="G34:K34"/>
    <mergeCell ref="L34:M34"/>
    <mergeCell ref="N34:Q34"/>
    <mergeCell ref="R34:X34"/>
    <mergeCell ref="Y34:AG34"/>
    <mergeCell ref="AH34:AJ34"/>
    <mergeCell ref="AK34:AN34"/>
    <mergeCell ref="Y35:AN35"/>
    <mergeCell ref="R35:X35"/>
    <mergeCell ref="G35:Q35"/>
    <mergeCell ref="A34:F34"/>
    <mergeCell ref="D17:Q17"/>
    <mergeCell ref="U17:AN17"/>
    <mergeCell ref="A35:F35"/>
    <mergeCell ref="U20:AN20"/>
    <mergeCell ref="D23:Q23"/>
    <mergeCell ref="U23:AN23"/>
    <mergeCell ref="D26:Q26"/>
    <mergeCell ref="U26:AN26"/>
    <mergeCell ref="D20:Q20"/>
    <mergeCell ref="C108:F109"/>
    <mergeCell ref="B39:AN39"/>
    <mergeCell ref="B46:H46"/>
    <mergeCell ref="B51:L51"/>
    <mergeCell ref="I110:W110"/>
    <mergeCell ref="C110:F110"/>
    <mergeCell ref="I108:W109"/>
    <mergeCell ref="N43:U43"/>
    <mergeCell ref="N44:U44"/>
    <mergeCell ref="N48:U48"/>
    <mergeCell ref="G48:L48"/>
    <mergeCell ref="A48:F48"/>
    <mergeCell ref="B66:F66"/>
    <mergeCell ref="B71:F71"/>
    <mergeCell ref="B72:F72"/>
    <mergeCell ref="B59:F59"/>
    <mergeCell ref="B60:F60"/>
    <mergeCell ref="B61:F61"/>
    <mergeCell ref="B90:F90"/>
    <mergeCell ref="G83:L83"/>
    <mergeCell ref="M81:AB81"/>
    <mergeCell ref="M82:AB82"/>
    <mergeCell ref="G41:L41"/>
    <mergeCell ref="G43:L43"/>
  </mergeCells>
  <phoneticPr fontId="40" type="noConversion"/>
  <printOptions horizontalCentered="1"/>
  <pageMargins left="0.6692913385826772" right="0.47244094488188981" top="0.55118110236220474" bottom="0.31496062992125984" header="0.31496062992125984" footer="0.19685039370078741"/>
  <pageSetup paperSize="9" scale="65" orientation="portrait" r:id="rId1"/>
  <headerFooter>
    <oddHeader>&amp;R&amp;G</oddHeader>
    <oddFooter>&amp;LMHG-PU-F-0019&amp;CPPA-Template ; Rev.: 01/2019&amp;RJ.-U. Liedtke / PU-SD-GA</oddFooter>
  </headerFooter>
  <legacyDrawingHF r:id="rId2"/>
  <extLst>
    <ext xmlns:mx="http://schemas.microsoft.com/office/mac/excel/2008/main" uri="{64002731-A6B0-56B0-2670-7721B7C09600}">
      <mx:PLV Mode="1" OnePage="0" WScale="100"/>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4">
    <pageSetUpPr fitToPage="1"/>
  </sheetPr>
  <dimension ref="A1:AN186"/>
  <sheetViews>
    <sheetView showGridLines="0" zoomScaleNormal="100" zoomScalePageLayoutView="80" workbookViewId="0">
      <selection activeCell="D99" sqref="D99:F100"/>
    </sheetView>
  </sheetViews>
  <sheetFormatPr baseColWidth="10" defaultColWidth="9.140625" defaultRowHeight="12.75"/>
  <cols>
    <col min="1" max="1" width="0.7109375" style="24" customWidth="1"/>
    <col min="2" max="2" width="3" style="24" customWidth="1"/>
    <col min="3" max="3" width="0.7109375" style="24" customWidth="1"/>
    <col min="4" max="4" width="3" style="24" customWidth="1"/>
    <col min="5" max="5" width="9.7109375" style="24" customWidth="1"/>
    <col min="6" max="6" width="10.7109375" style="24" customWidth="1"/>
    <col min="7" max="7" width="6.7109375" style="24" customWidth="1"/>
    <col min="8" max="9" width="3.42578125" style="24" customWidth="1"/>
    <col min="10" max="10" width="4" style="24" customWidth="1"/>
    <col min="11" max="11" width="5" style="24" customWidth="1"/>
    <col min="12" max="13" width="3.85546875" style="24" customWidth="1"/>
    <col min="14" max="15" width="3.42578125" style="24" customWidth="1"/>
    <col min="16" max="16" width="3.7109375" style="24" customWidth="1"/>
    <col min="17" max="17" width="2.7109375" style="24" customWidth="1"/>
    <col min="18" max="18" width="0.7109375" style="24" customWidth="1"/>
    <col min="19" max="19" width="3" style="24" customWidth="1"/>
    <col min="20" max="20" width="0.7109375" style="24" customWidth="1"/>
    <col min="21" max="21" width="3.85546875" style="24" customWidth="1"/>
    <col min="22" max="22" width="3.42578125" style="24" customWidth="1"/>
    <col min="23" max="23" width="3.85546875" style="24" customWidth="1"/>
    <col min="24" max="25" width="3.42578125" style="24" customWidth="1"/>
    <col min="26" max="26" width="3.7109375" style="24" customWidth="1"/>
    <col min="27" max="31" width="3.42578125" style="24" customWidth="1"/>
    <col min="32" max="32" width="2.42578125" style="24" customWidth="1"/>
    <col min="33" max="37" width="3.42578125" style="24" customWidth="1"/>
    <col min="38" max="39" width="1.42578125" style="24" customWidth="1"/>
    <col min="40" max="40" width="3.42578125" style="24" customWidth="1"/>
    <col min="41" max="16384" width="9.140625" style="24"/>
  </cols>
  <sheetData>
    <row r="1" spans="1:40" ht="9" customHeight="1"/>
    <row r="2" spans="1:40" ht="12.75" customHeight="1">
      <c r="A2" s="912" t="str">
        <f>VLOOKUP("prozessbezogene und sonstige dokumente",Translations!$A:$T,MATCH(Cover!DR19,Translations!A2:P2,0),0)</f>
        <v>Process-related and other documents</v>
      </c>
      <c r="B2" s="912"/>
      <c r="C2" s="912"/>
      <c r="D2" s="912"/>
      <c r="E2" s="912"/>
      <c r="F2" s="912"/>
      <c r="G2" s="912"/>
      <c r="H2" s="912"/>
      <c r="I2" s="912"/>
      <c r="J2" s="912"/>
      <c r="K2" s="912"/>
      <c r="L2" s="912"/>
      <c r="M2" s="912"/>
      <c r="N2" s="912"/>
      <c r="O2" s="912"/>
      <c r="P2" s="912"/>
      <c r="Q2" s="912"/>
      <c r="R2" s="912"/>
      <c r="S2" s="912"/>
      <c r="T2" s="912"/>
      <c r="U2" s="912"/>
      <c r="V2" s="912"/>
      <c r="W2" s="912"/>
      <c r="X2" s="912"/>
      <c r="Y2" s="912"/>
      <c r="Z2" s="912"/>
      <c r="AA2" s="912"/>
      <c r="AB2" s="912"/>
      <c r="AC2" s="912"/>
      <c r="AD2" s="912"/>
      <c r="AE2" s="912"/>
      <c r="AF2" s="912"/>
      <c r="AG2" s="912"/>
      <c r="AH2" s="912"/>
    </row>
    <row r="3" spans="1:40" ht="12.75" customHeight="1">
      <c r="A3" s="912"/>
      <c r="B3" s="912"/>
      <c r="C3" s="912"/>
      <c r="D3" s="912"/>
      <c r="E3" s="912"/>
      <c r="F3" s="912"/>
      <c r="G3" s="912"/>
      <c r="H3" s="912"/>
      <c r="I3" s="912"/>
      <c r="J3" s="912"/>
      <c r="K3" s="912"/>
      <c r="L3" s="912"/>
      <c r="M3" s="912"/>
      <c r="N3" s="912"/>
      <c r="O3" s="912"/>
      <c r="P3" s="912"/>
      <c r="Q3" s="912"/>
      <c r="R3" s="912"/>
      <c r="S3" s="912"/>
      <c r="T3" s="912"/>
      <c r="U3" s="912"/>
      <c r="V3" s="912"/>
      <c r="W3" s="912"/>
      <c r="X3" s="912"/>
      <c r="Y3" s="912"/>
      <c r="Z3" s="912"/>
      <c r="AA3" s="912"/>
      <c r="AB3" s="912"/>
      <c r="AC3" s="912"/>
      <c r="AD3" s="912"/>
      <c r="AE3" s="912"/>
      <c r="AF3" s="912"/>
      <c r="AG3" s="912"/>
      <c r="AH3" s="912"/>
    </row>
    <row r="4" spans="1:40" ht="10.5" customHeight="1">
      <c r="A4" s="912"/>
      <c r="B4" s="912"/>
      <c r="C4" s="912"/>
      <c r="D4" s="912"/>
      <c r="E4" s="912"/>
      <c r="F4" s="912"/>
      <c r="G4" s="912"/>
      <c r="H4" s="912"/>
      <c r="I4" s="912"/>
      <c r="J4" s="912"/>
      <c r="K4" s="912"/>
      <c r="L4" s="912"/>
      <c r="M4" s="912"/>
      <c r="N4" s="912"/>
      <c r="O4" s="912"/>
      <c r="P4" s="912"/>
      <c r="Q4" s="912"/>
      <c r="R4" s="912"/>
      <c r="S4" s="912"/>
      <c r="T4" s="912"/>
      <c r="U4" s="912"/>
      <c r="V4" s="912"/>
      <c r="W4" s="912"/>
      <c r="X4" s="912"/>
      <c r="Y4" s="912"/>
      <c r="Z4" s="912"/>
      <c r="AA4" s="912"/>
      <c r="AB4" s="912"/>
      <c r="AC4" s="912"/>
      <c r="AD4" s="912"/>
      <c r="AE4" s="912"/>
      <c r="AF4" s="912"/>
      <c r="AG4" s="912"/>
      <c r="AH4" s="912"/>
    </row>
    <row r="5" spans="1:40" ht="15" customHeight="1">
      <c r="E5" s="612" t="str">
        <f>VLOOKUP("blatt",Translations!$A:$T,MATCH(Cover!DR19,Translations!A2:P2,0),0)</f>
        <v>Page</v>
      </c>
      <c r="F5" s="324"/>
      <c r="G5" s="612" t="str">
        <f>VLOOKUP("vonvv",Translations!$A:$T,MATCH(Cover!DR19,Translations!A2:P2,0),0)</f>
        <v>of</v>
      </c>
      <c r="H5" s="1151"/>
      <c r="I5" s="1151"/>
      <c r="J5" s="1151"/>
      <c r="Y5" s="1186" t="str">
        <f>VLOOKUP("standyy",Translations!$A:$T,MATCH(Cover!DR19,Translations!A2:P2,0),0)</f>
        <v>Status:</v>
      </c>
      <c r="Z5" s="1186"/>
      <c r="AA5" s="1186"/>
      <c r="AB5" s="1150"/>
      <c r="AC5" s="1150"/>
      <c r="AD5" s="1150"/>
      <c r="AE5" s="1150"/>
      <c r="AF5" s="1186" t="str">
        <f>VLOOKUP("ydatumf",Translations!$A:$T,MATCH(Cover!DR19,Translations!A2:P2,0),0)</f>
        <v>/ Date:</v>
      </c>
      <c r="AG5" s="1186"/>
      <c r="AH5" s="1186"/>
      <c r="AI5" s="1150"/>
      <c r="AJ5" s="1150"/>
      <c r="AK5" s="1150"/>
      <c r="AL5" s="1150"/>
      <c r="AM5" s="1150"/>
    </row>
    <row r="6" spans="1:40" ht="4.5" customHeight="1" thickBot="1">
      <c r="A6" s="113"/>
      <c r="B6" s="113"/>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3"/>
      <c r="AL6" s="113"/>
      <c r="AM6" s="113"/>
      <c r="AN6" s="113"/>
    </row>
    <row r="7" spans="1:40" ht="3" customHeight="1">
      <c r="A7" s="279"/>
      <c r="B7" s="280"/>
      <c r="C7" s="280"/>
      <c r="D7" s="1148"/>
      <c r="E7" s="1148"/>
      <c r="F7" s="1148"/>
      <c r="G7" s="1148"/>
      <c r="H7" s="1148"/>
      <c r="I7" s="1148"/>
      <c r="J7" s="1148"/>
      <c r="K7" s="1148"/>
      <c r="L7" s="1148"/>
      <c r="M7" s="1148"/>
      <c r="N7" s="1148"/>
      <c r="O7" s="1148"/>
      <c r="P7" s="1148"/>
      <c r="Q7" s="1149"/>
      <c r="R7" s="279"/>
      <c r="S7" s="280"/>
      <c r="T7" s="280"/>
      <c r="U7" s="1148"/>
      <c r="V7" s="1148"/>
      <c r="W7" s="1148"/>
      <c r="X7" s="1148"/>
      <c r="Y7" s="1148"/>
      <c r="Z7" s="1148"/>
      <c r="AA7" s="1148"/>
      <c r="AB7" s="1148"/>
      <c r="AC7" s="1148"/>
      <c r="AD7" s="1148"/>
      <c r="AE7" s="1148"/>
      <c r="AF7" s="1148"/>
      <c r="AG7" s="1148"/>
      <c r="AH7" s="1148"/>
      <c r="AI7" s="1148"/>
      <c r="AJ7" s="1148"/>
      <c r="AK7" s="1148"/>
      <c r="AL7" s="1148"/>
      <c r="AM7" s="1148"/>
      <c r="AN7" s="1149"/>
    </row>
    <row r="8" spans="1:40" ht="15.75" customHeight="1">
      <c r="A8" s="281"/>
      <c r="B8" s="425"/>
      <c r="C8" s="282"/>
      <c r="D8" s="1146" t="str">
        <f>Cover!AB23</f>
        <v>8 Software test report</v>
      </c>
      <c r="E8" s="1146"/>
      <c r="F8" s="1146"/>
      <c r="G8" s="1146"/>
      <c r="H8" s="1146"/>
      <c r="I8" s="1146"/>
      <c r="J8" s="1146"/>
      <c r="K8" s="1146"/>
      <c r="L8" s="1146"/>
      <c r="M8" s="1146"/>
      <c r="N8" s="1146"/>
      <c r="O8" s="1146"/>
      <c r="P8" s="1146"/>
      <c r="Q8" s="1147"/>
      <c r="R8" s="281"/>
      <c r="S8" s="425"/>
      <c r="T8" s="282"/>
      <c r="U8" s="1146" t="str">
        <f>Cover!BU23</f>
        <v>16 Tooling list</v>
      </c>
      <c r="V8" s="1146"/>
      <c r="W8" s="1146"/>
      <c r="X8" s="1146"/>
      <c r="Y8" s="1146"/>
      <c r="Z8" s="1146"/>
      <c r="AA8" s="1146"/>
      <c r="AB8" s="1146"/>
      <c r="AC8" s="1146"/>
      <c r="AD8" s="1146"/>
      <c r="AE8" s="1146"/>
      <c r="AF8" s="1146"/>
      <c r="AG8" s="1146"/>
      <c r="AH8" s="1146"/>
      <c r="AI8" s="1146"/>
      <c r="AJ8" s="1146"/>
      <c r="AK8" s="1146"/>
      <c r="AL8" s="1146"/>
      <c r="AM8" s="1146"/>
      <c r="AN8" s="1147"/>
    </row>
    <row r="9" spans="1:40" ht="3" customHeight="1">
      <c r="A9" s="281"/>
      <c r="B9" s="282"/>
      <c r="C9" s="282"/>
      <c r="D9" s="407"/>
      <c r="E9" s="407"/>
      <c r="F9" s="407"/>
      <c r="G9" s="407"/>
      <c r="H9" s="407"/>
      <c r="I9" s="407"/>
      <c r="J9" s="407"/>
      <c r="K9" s="407"/>
      <c r="L9" s="407"/>
      <c r="M9" s="407"/>
      <c r="N9" s="407"/>
      <c r="O9" s="407"/>
      <c r="P9" s="407"/>
      <c r="Q9" s="408"/>
      <c r="R9" s="281"/>
      <c r="S9" s="282"/>
      <c r="T9" s="282"/>
      <c r="U9" s="407"/>
      <c r="V9" s="407"/>
      <c r="W9" s="407"/>
      <c r="X9" s="407"/>
      <c r="Y9" s="407"/>
      <c r="Z9" s="407"/>
      <c r="AA9" s="407"/>
      <c r="AB9" s="407"/>
      <c r="AC9" s="407"/>
      <c r="AD9" s="407"/>
      <c r="AE9" s="407"/>
      <c r="AF9" s="407"/>
      <c r="AG9" s="407"/>
      <c r="AH9" s="407"/>
      <c r="AI9" s="407"/>
      <c r="AJ9" s="407"/>
      <c r="AK9" s="407"/>
      <c r="AL9" s="407"/>
      <c r="AM9" s="407"/>
      <c r="AN9" s="408"/>
    </row>
    <row r="10" spans="1:40" ht="3" customHeight="1">
      <c r="A10" s="281"/>
      <c r="B10" s="282"/>
      <c r="C10" s="282"/>
      <c r="D10" s="407"/>
      <c r="E10" s="407"/>
      <c r="F10" s="407"/>
      <c r="G10" s="407"/>
      <c r="H10" s="407"/>
      <c r="I10" s="407"/>
      <c r="J10" s="407"/>
      <c r="K10" s="407"/>
      <c r="L10" s="407"/>
      <c r="M10" s="407"/>
      <c r="N10" s="407"/>
      <c r="O10" s="407"/>
      <c r="P10" s="407"/>
      <c r="Q10" s="408"/>
      <c r="R10" s="281"/>
      <c r="S10" s="282"/>
      <c r="T10" s="282"/>
      <c r="U10" s="407"/>
      <c r="V10" s="407"/>
      <c r="W10" s="407"/>
      <c r="X10" s="407"/>
      <c r="Y10" s="407"/>
      <c r="Z10" s="407"/>
      <c r="AA10" s="407"/>
      <c r="AB10" s="407"/>
      <c r="AC10" s="407"/>
      <c r="AD10" s="407"/>
      <c r="AE10" s="407"/>
      <c r="AF10" s="407"/>
      <c r="AG10" s="407"/>
      <c r="AH10" s="407"/>
      <c r="AI10" s="407"/>
      <c r="AJ10" s="407"/>
      <c r="AK10" s="407"/>
      <c r="AL10" s="407"/>
      <c r="AM10" s="407"/>
      <c r="AN10" s="408"/>
    </row>
    <row r="11" spans="1:40" ht="15.75" customHeight="1">
      <c r="A11" s="281"/>
      <c r="B11" s="425"/>
      <c r="C11" s="282"/>
      <c r="D11" s="1146" t="str">
        <f>Cover!AB25</f>
        <v>9 Process – FMEA</v>
      </c>
      <c r="E11" s="1146"/>
      <c r="F11" s="1146"/>
      <c r="G11" s="1146"/>
      <c r="H11" s="1146"/>
      <c r="I11" s="1146"/>
      <c r="J11" s="1146"/>
      <c r="K11" s="1146"/>
      <c r="L11" s="1146"/>
      <c r="M11" s="1146"/>
      <c r="N11" s="1146"/>
      <c r="O11" s="1146"/>
      <c r="P11" s="1146"/>
      <c r="Q11" s="1147"/>
      <c r="R11" s="281"/>
      <c r="S11" s="425"/>
      <c r="T11" s="282"/>
      <c r="U11" s="1146" t="str">
        <f>Cover!BU25</f>
        <v>17 Confirmation of agreed capacity</v>
      </c>
      <c r="V11" s="1146"/>
      <c r="W11" s="1146"/>
      <c r="X11" s="1146"/>
      <c r="Y11" s="1146"/>
      <c r="Z11" s="1146"/>
      <c r="AA11" s="1146"/>
      <c r="AB11" s="1146"/>
      <c r="AC11" s="1146"/>
      <c r="AD11" s="1146"/>
      <c r="AE11" s="1146"/>
      <c r="AF11" s="1146"/>
      <c r="AG11" s="1146"/>
      <c r="AH11" s="1146"/>
      <c r="AI11" s="1146"/>
      <c r="AJ11" s="1146"/>
      <c r="AK11" s="1146"/>
      <c r="AL11" s="1146"/>
      <c r="AM11" s="1146"/>
      <c r="AN11" s="1147"/>
    </row>
    <row r="12" spans="1:40" ht="3" customHeight="1">
      <c r="A12" s="281"/>
      <c r="B12" s="282"/>
      <c r="C12" s="282"/>
      <c r="D12" s="407"/>
      <c r="E12" s="407"/>
      <c r="F12" s="407"/>
      <c r="G12" s="407"/>
      <c r="H12" s="407"/>
      <c r="I12" s="407"/>
      <c r="J12" s="407"/>
      <c r="K12" s="407"/>
      <c r="L12" s="407"/>
      <c r="M12" s="407"/>
      <c r="N12" s="407"/>
      <c r="O12" s="407"/>
      <c r="P12" s="407"/>
      <c r="Q12" s="408"/>
      <c r="R12" s="281"/>
      <c r="S12" s="282"/>
      <c r="T12" s="282"/>
      <c r="U12" s="407"/>
      <c r="V12" s="407"/>
      <c r="W12" s="407"/>
      <c r="X12" s="407"/>
      <c r="Y12" s="407"/>
      <c r="Z12" s="407"/>
      <c r="AA12" s="407"/>
      <c r="AB12" s="407"/>
      <c r="AC12" s="407"/>
      <c r="AD12" s="407"/>
      <c r="AE12" s="407"/>
      <c r="AF12" s="407"/>
      <c r="AG12" s="407"/>
      <c r="AH12" s="407"/>
      <c r="AI12" s="407"/>
      <c r="AJ12" s="407"/>
      <c r="AK12" s="407"/>
      <c r="AL12" s="407"/>
      <c r="AM12" s="407"/>
      <c r="AN12" s="408"/>
    </row>
    <row r="13" spans="1:40" ht="3" customHeight="1">
      <c r="A13" s="281"/>
      <c r="B13" s="282"/>
      <c r="C13" s="282"/>
      <c r="D13" s="407"/>
      <c r="E13" s="407"/>
      <c r="F13" s="407"/>
      <c r="G13" s="407"/>
      <c r="H13" s="407"/>
      <c r="I13" s="407"/>
      <c r="J13" s="407"/>
      <c r="K13" s="407"/>
      <c r="L13" s="407"/>
      <c r="M13" s="407"/>
      <c r="N13" s="407"/>
      <c r="O13" s="407"/>
      <c r="P13" s="407"/>
      <c r="Q13" s="408"/>
      <c r="R13" s="281"/>
      <c r="S13" s="282"/>
      <c r="T13" s="282"/>
      <c r="U13" s="407"/>
      <c r="V13" s="407"/>
      <c r="W13" s="407"/>
      <c r="X13" s="407"/>
      <c r="Y13" s="407"/>
      <c r="Z13" s="407"/>
      <c r="AA13" s="407"/>
      <c r="AB13" s="407"/>
      <c r="AC13" s="407"/>
      <c r="AD13" s="407"/>
      <c r="AE13" s="407"/>
      <c r="AF13" s="407"/>
      <c r="AG13" s="407"/>
      <c r="AH13" s="407"/>
      <c r="AI13" s="407"/>
      <c r="AJ13" s="407"/>
      <c r="AK13" s="407"/>
      <c r="AL13" s="407"/>
      <c r="AM13" s="407"/>
      <c r="AN13" s="408"/>
    </row>
    <row r="14" spans="1:40" ht="15.75" customHeight="1">
      <c r="A14" s="281"/>
      <c r="B14" s="425"/>
      <c r="C14" s="282"/>
      <c r="D14" s="1146" t="str">
        <f>Cover!AB27</f>
        <v>10 Process flow chart</v>
      </c>
      <c r="E14" s="1146"/>
      <c r="F14" s="1146"/>
      <c r="G14" s="1146"/>
      <c r="H14" s="1146"/>
      <c r="I14" s="1146"/>
      <c r="J14" s="1146"/>
      <c r="K14" s="1146"/>
      <c r="L14" s="1146"/>
      <c r="M14" s="1146"/>
      <c r="N14" s="1146"/>
      <c r="O14" s="1146"/>
      <c r="P14" s="1146"/>
      <c r="Q14" s="1147"/>
      <c r="R14" s="281"/>
      <c r="S14" s="425" t="s">
        <v>653</v>
      </c>
      <c r="T14" s="282"/>
      <c r="U14" s="1146" t="str">
        <f>Cover!BU27</f>
        <v>18 Written self-assessment</v>
      </c>
      <c r="V14" s="1146"/>
      <c r="W14" s="1146"/>
      <c r="X14" s="1146"/>
      <c r="Y14" s="1146"/>
      <c r="Z14" s="1146"/>
      <c r="AA14" s="1146"/>
      <c r="AB14" s="1146"/>
      <c r="AC14" s="1146"/>
      <c r="AD14" s="1146"/>
      <c r="AE14" s="1146"/>
      <c r="AF14" s="1146"/>
      <c r="AG14" s="1146"/>
      <c r="AH14" s="1146"/>
      <c r="AI14" s="1146"/>
      <c r="AJ14" s="1146"/>
      <c r="AK14" s="1146"/>
      <c r="AL14" s="1146"/>
      <c r="AM14" s="1146"/>
      <c r="AN14" s="1147"/>
    </row>
    <row r="15" spans="1:40" ht="3" customHeight="1">
      <c r="A15" s="281"/>
      <c r="B15" s="282"/>
      <c r="C15" s="282"/>
      <c r="D15" s="407"/>
      <c r="E15" s="407"/>
      <c r="F15" s="407"/>
      <c r="G15" s="407"/>
      <c r="H15" s="407"/>
      <c r="I15" s="407"/>
      <c r="J15" s="407"/>
      <c r="K15" s="407"/>
      <c r="L15" s="407"/>
      <c r="M15" s="407"/>
      <c r="N15" s="407"/>
      <c r="O15" s="407"/>
      <c r="P15" s="407"/>
      <c r="Q15" s="408"/>
      <c r="R15" s="281"/>
      <c r="S15" s="282"/>
      <c r="T15" s="282"/>
      <c r="U15" s="407"/>
      <c r="V15" s="407"/>
      <c r="W15" s="407"/>
      <c r="X15" s="407"/>
      <c r="Y15" s="407"/>
      <c r="Z15" s="407"/>
      <c r="AA15" s="407"/>
      <c r="AB15" s="407"/>
      <c r="AC15" s="407"/>
      <c r="AD15" s="407"/>
      <c r="AE15" s="407"/>
      <c r="AF15" s="407"/>
      <c r="AG15" s="407"/>
      <c r="AH15" s="407"/>
      <c r="AI15" s="407"/>
      <c r="AJ15" s="407"/>
      <c r="AK15" s="407"/>
      <c r="AL15" s="407"/>
      <c r="AM15" s="407"/>
      <c r="AN15" s="408"/>
    </row>
    <row r="16" spans="1:40" ht="3" customHeight="1">
      <c r="A16" s="281"/>
      <c r="B16" s="282"/>
      <c r="C16" s="282"/>
      <c r="D16" s="407"/>
      <c r="E16" s="407"/>
      <c r="F16" s="407"/>
      <c r="G16" s="407"/>
      <c r="H16" s="407"/>
      <c r="I16" s="407"/>
      <c r="J16" s="407"/>
      <c r="K16" s="407"/>
      <c r="L16" s="407"/>
      <c r="M16" s="407"/>
      <c r="N16" s="407"/>
      <c r="O16" s="407"/>
      <c r="P16" s="407"/>
      <c r="Q16" s="408"/>
      <c r="R16" s="281"/>
      <c r="S16" s="282"/>
      <c r="T16" s="282"/>
      <c r="U16" s="407"/>
      <c r="V16" s="407"/>
      <c r="W16" s="407"/>
      <c r="X16" s="407"/>
      <c r="Y16" s="407"/>
      <c r="Z16" s="407"/>
      <c r="AA16" s="407"/>
      <c r="AB16" s="407"/>
      <c r="AC16" s="407"/>
      <c r="AD16" s="407"/>
      <c r="AE16" s="407"/>
      <c r="AF16" s="407"/>
      <c r="AG16" s="407"/>
      <c r="AH16" s="407"/>
      <c r="AI16" s="407"/>
      <c r="AJ16" s="407"/>
      <c r="AK16" s="407"/>
      <c r="AL16" s="407"/>
      <c r="AM16" s="407"/>
      <c r="AN16" s="408"/>
    </row>
    <row r="17" spans="1:40" ht="15.75" customHeight="1">
      <c r="A17" s="281"/>
      <c r="B17" s="425"/>
      <c r="C17" s="282"/>
      <c r="D17" s="1146" t="str">
        <f>Cover!AB29</f>
        <v>11 Control plan</v>
      </c>
      <c r="E17" s="1146"/>
      <c r="F17" s="1146"/>
      <c r="G17" s="1146"/>
      <c r="H17" s="1146"/>
      <c r="I17" s="1146"/>
      <c r="J17" s="1146"/>
      <c r="K17" s="1146"/>
      <c r="L17" s="1146"/>
      <c r="M17" s="1146"/>
      <c r="N17" s="1146"/>
      <c r="O17" s="1146"/>
      <c r="P17" s="1146"/>
      <c r="Q17" s="1147"/>
      <c r="R17" s="281"/>
      <c r="S17" s="425"/>
      <c r="T17" s="282"/>
      <c r="U17" s="1146" t="str">
        <f>Cover!BU29</f>
        <v>19 Part history</v>
      </c>
      <c r="V17" s="1146"/>
      <c r="W17" s="1146"/>
      <c r="X17" s="1146"/>
      <c r="Y17" s="1146"/>
      <c r="Z17" s="1146"/>
      <c r="AA17" s="1146"/>
      <c r="AB17" s="1146"/>
      <c r="AC17" s="1146"/>
      <c r="AD17" s="1146"/>
      <c r="AE17" s="1146"/>
      <c r="AF17" s="1146"/>
      <c r="AG17" s="1146"/>
      <c r="AH17" s="1146"/>
      <c r="AI17" s="1146"/>
      <c r="AJ17" s="1146"/>
      <c r="AK17" s="1146"/>
      <c r="AL17" s="1146"/>
      <c r="AM17" s="1146"/>
      <c r="AN17" s="1147"/>
    </row>
    <row r="18" spans="1:40" ht="3" customHeight="1">
      <c r="A18" s="281"/>
      <c r="B18" s="282"/>
      <c r="C18" s="282"/>
      <c r="D18" s="407"/>
      <c r="E18" s="407"/>
      <c r="F18" s="407"/>
      <c r="G18" s="407"/>
      <c r="H18" s="407"/>
      <c r="I18" s="407"/>
      <c r="J18" s="407"/>
      <c r="K18" s="407"/>
      <c r="L18" s="407"/>
      <c r="M18" s="407"/>
      <c r="N18" s="407"/>
      <c r="O18" s="407"/>
      <c r="P18" s="407"/>
      <c r="Q18" s="408"/>
      <c r="R18" s="281"/>
      <c r="S18" s="282"/>
      <c r="T18" s="282"/>
      <c r="U18" s="407"/>
      <c r="V18" s="407"/>
      <c r="W18" s="407"/>
      <c r="X18" s="407"/>
      <c r="Y18" s="407"/>
      <c r="Z18" s="407"/>
      <c r="AA18" s="407"/>
      <c r="AB18" s="407"/>
      <c r="AC18" s="407"/>
      <c r="AD18" s="407"/>
      <c r="AE18" s="407"/>
      <c r="AF18" s="407"/>
      <c r="AG18" s="407"/>
      <c r="AH18" s="407"/>
      <c r="AI18" s="407"/>
      <c r="AJ18" s="407"/>
      <c r="AK18" s="407"/>
      <c r="AL18" s="407"/>
      <c r="AM18" s="407"/>
      <c r="AN18" s="408"/>
    </row>
    <row r="19" spans="1:40" ht="3" customHeight="1">
      <c r="A19" s="281"/>
      <c r="B19" s="282"/>
      <c r="C19" s="282"/>
      <c r="D19" s="407"/>
      <c r="E19" s="407"/>
      <c r="F19" s="407"/>
      <c r="G19" s="407"/>
      <c r="H19" s="407"/>
      <c r="I19" s="407"/>
      <c r="J19" s="407"/>
      <c r="K19" s="407"/>
      <c r="L19" s="407"/>
      <c r="M19" s="407"/>
      <c r="N19" s="407"/>
      <c r="O19" s="407"/>
      <c r="P19" s="407"/>
      <c r="Q19" s="408"/>
      <c r="R19" s="281"/>
      <c r="S19" s="282"/>
      <c r="T19" s="282"/>
      <c r="U19" s="407"/>
      <c r="V19" s="407"/>
      <c r="W19" s="407"/>
      <c r="X19" s="407"/>
      <c r="Y19" s="407"/>
      <c r="Z19" s="407"/>
      <c r="AA19" s="407"/>
      <c r="AB19" s="407"/>
      <c r="AC19" s="407"/>
      <c r="AD19" s="407"/>
      <c r="AE19" s="407"/>
      <c r="AF19" s="407"/>
      <c r="AG19" s="407"/>
      <c r="AH19" s="407"/>
      <c r="AI19" s="407"/>
      <c r="AJ19" s="407"/>
      <c r="AK19" s="407"/>
      <c r="AL19" s="407"/>
      <c r="AM19" s="407"/>
      <c r="AN19" s="408"/>
    </row>
    <row r="20" spans="1:40" ht="15.75" customHeight="1">
      <c r="A20" s="281"/>
      <c r="B20" s="425"/>
      <c r="C20" s="282"/>
      <c r="D20" s="1146" t="str">
        <f>Cover!AB31</f>
        <v>12 Confirmation of process capability</v>
      </c>
      <c r="E20" s="1146"/>
      <c r="F20" s="1146"/>
      <c r="G20" s="1146"/>
      <c r="H20" s="1146"/>
      <c r="I20" s="1146"/>
      <c r="J20" s="1146"/>
      <c r="K20" s="1146"/>
      <c r="L20" s="1146"/>
      <c r="M20" s="1146"/>
      <c r="N20" s="1146"/>
      <c r="O20" s="1146"/>
      <c r="P20" s="1146"/>
      <c r="Q20" s="1147"/>
      <c r="R20" s="281"/>
      <c r="S20" s="425"/>
      <c r="T20" s="282"/>
      <c r="U20" s="1146" t="str">
        <f>Cover!BU31</f>
        <v>20 Confirmation of suitability of transport equipment</v>
      </c>
      <c r="V20" s="1146"/>
      <c r="W20" s="1146"/>
      <c r="X20" s="1146"/>
      <c r="Y20" s="1146"/>
      <c r="Z20" s="1146"/>
      <c r="AA20" s="1146"/>
      <c r="AB20" s="1146"/>
      <c r="AC20" s="1146"/>
      <c r="AD20" s="1146"/>
      <c r="AE20" s="1146"/>
      <c r="AF20" s="1146"/>
      <c r="AG20" s="1146"/>
      <c r="AH20" s="1146"/>
      <c r="AI20" s="1146"/>
      <c r="AJ20" s="1146"/>
      <c r="AK20" s="1146"/>
      <c r="AL20" s="1146"/>
      <c r="AM20" s="1146"/>
      <c r="AN20" s="1147"/>
    </row>
    <row r="21" spans="1:40" ht="3" customHeight="1">
      <c r="A21" s="281"/>
      <c r="B21" s="282"/>
      <c r="C21" s="282"/>
      <c r="D21" s="407"/>
      <c r="E21" s="407"/>
      <c r="F21" s="407"/>
      <c r="G21" s="407"/>
      <c r="H21" s="407"/>
      <c r="I21" s="407"/>
      <c r="J21" s="407"/>
      <c r="K21" s="407"/>
      <c r="L21" s="407"/>
      <c r="M21" s="407"/>
      <c r="N21" s="407"/>
      <c r="O21" s="407"/>
      <c r="P21" s="407"/>
      <c r="Q21" s="408"/>
      <c r="R21" s="281"/>
      <c r="S21" s="282"/>
      <c r="T21" s="282"/>
      <c r="U21" s="407"/>
      <c r="V21" s="407"/>
      <c r="W21" s="407"/>
      <c r="X21" s="407"/>
      <c r="Y21" s="407"/>
      <c r="Z21" s="407"/>
      <c r="AA21" s="407"/>
      <c r="AB21" s="407"/>
      <c r="AC21" s="407"/>
      <c r="AD21" s="407"/>
      <c r="AE21" s="407"/>
      <c r="AF21" s="407"/>
      <c r="AG21" s="407"/>
      <c r="AH21" s="407"/>
      <c r="AI21" s="407"/>
      <c r="AJ21" s="407"/>
      <c r="AK21" s="407"/>
      <c r="AL21" s="407"/>
      <c r="AM21" s="407"/>
      <c r="AN21" s="408"/>
    </row>
    <row r="22" spans="1:40" ht="3" customHeight="1">
      <c r="A22" s="281"/>
      <c r="B22" s="282"/>
      <c r="C22" s="282"/>
      <c r="D22" s="407"/>
      <c r="E22" s="407"/>
      <c r="F22" s="407"/>
      <c r="G22" s="407"/>
      <c r="H22" s="407"/>
      <c r="I22" s="407"/>
      <c r="J22" s="407"/>
      <c r="K22" s="407"/>
      <c r="L22" s="407"/>
      <c r="M22" s="407"/>
      <c r="N22" s="407"/>
      <c r="O22" s="407"/>
      <c r="P22" s="407"/>
      <c r="Q22" s="408"/>
      <c r="R22" s="281"/>
      <c r="S22" s="282"/>
      <c r="T22" s="282"/>
      <c r="U22" s="407"/>
      <c r="V22" s="407"/>
      <c r="W22" s="407"/>
      <c r="X22" s="407"/>
      <c r="Y22" s="407"/>
      <c r="Z22" s="407"/>
      <c r="AA22" s="407"/>
      <c r="AB22" s="407"/>
      <c r="AC22" s="407"/>
      <c r="AD22" s="407"/>
      <c r="AE22" s="407"/>
      <c r="AF22" s="407"/>
      <c r="AG22" s="407"/>
      <c r="AH22" s="407"/>
      <c r="AI22" s="407"/>
      <c r="AJ22" s="407"/>
      <c r="AK22" s="407"/>
      <c r="AL22" s="407"/>
      <c r="AM22" s="407"/>
      <c r="AN22" s="408"/>
    </row>
    <row r="23" spans="1:40" ht="15.75" customHeight="1">
      <c r="A23" s="281"/>
      <c r="B23" s="425"/>
      <c r="C23" s="282"/>
      <c r="D23" s="1146" t="str">
        <f>Cover!AB33</f>
        <v>13 Achievement of special characteristics</v>
      </c>
      <c r="E23" s="1146"/>
      <c r="F23" s="1146"/>
      <c r="G23" s="1146"/>
      <c r="H23" s="1146"/>
      <c r="I23" s="1146"/>
      <c r="J23" s="1146"/>
      <c r="K23" s="1146"/>
      <c r="L23" s="1146"/>
      <c r="M23" s="1146"/>
      <c r="N23" s="1146"/>
      <c r="O23" s="1146"/>
      <c r="P23" s="1146"/>
      <c r="Q23" s="1147"/>
      <c r="R23" s="281"/>
      <c r="S23" s="425"/>
      <c r="T23" s="282"/>
      <c r="U23" s="1146" t="str">
        <f>Cover!BU33</f>
        <v>21 PPA-Status of the supply chain</v>
      </c>
      <c r="V23" s="1146"/>
      <c r="W23" s="1146"/>
      <c r="X23" s="1146"/>
      <c r="Y23" s="1146"/>
      <c r="Z23" s="1146"/>
      <c r="AA23" s="1146"/>
      <c r="AB23" s="1146"/>
      <c r="AC23" s="1146"/>
      <c r="AD23" s="1146"/>
      <c r="AE23" s="1146"/>
      <c r="AF23" s="1146"/>
      <c r="AG23" s="1146"/>
      <c r="AH23" s="1146"/>
      <c r="AI23" s="1146"/>
      <c r="AJ23" s="1146"/>
      <c r="AK23" s="1146"/>
      <c r="AL23" s="1146"/>
      <c r="AM23" s="1146"/>
      <c r="AN23" s="1147"/>
    </row>
    <row r="24" spans="1:40" ht="3" customHeight="1">
      <c r="A24" s="281"/>
      <c r="B24" s="282"/>
      <c r="C24" s="282"/>
      <c r="D24" s="407"/>
      <c r="E24" s="407"/>
      <c r="F24" s="407"/>
      <c r="G24" s="407"/>
      <c r="H24" s="407"/>
      <c r="I24" s="407"/>
      <c r="J24" s="407"/>
      <c r="K24" s="407"/>
      <c r="L24" s="407"/>
      <c r="M24" s="407"/>
      <c r="N24" s="407"/>
      <c r="O24" s="407"/>
      <c r="P24" s="407"/>
      <c r="Q24" s="408"/>
      <c r="R24" s="281"/>
      <c r="S24" s="282"/>
      <c r="T24" s="282"/>
      <c r="U24" s="407"/>
      <c r="V24" s="407"/>
      <c r="W24" s="407"/>
      <c r="X24" s="407"/>
      <c r="Y24" s="407"/>
      <c r="Z24" s="407"/>
      <c r="AA24" s="407"/>
      <c r="AB24" s="407"/>
      <c r="AC24" s="407"/>
      <c r="AD24" s="407"/>
      <c r="AE24" s="407"/>
      <c r="AF24" s="407"/>
      <c r="AG24" s="407"/>
      <c r="AH24" s="407"/>
      <c r="AI24" s="407"/>
      <c r="AJ24" s="407"/>
      <c r="AK24" s="407"/>
      <c r="AL24" s="407"/>
      <c r="AM24" s="407"/>
      <c r="AN24" s="408"/>
    </row>
    <row r="25" spans="1:40" ht="3" customHeight="1">
      <c r="A25" s="281"/>
      <c r="B25" s="282"/>
      <c r="C25" s="282"/>
      <c r="D25" s="407"/>
      <c r="E25" s="407"/>
      <c r="F25" s="407"/>
      <c r="G25" s="407"/>
      <c r="H25" s="407"/>
      <c r="I25" s="407"/>
      <c r="J25" s="407"/>
      <c r="K25" s="407"/>
      <c r="L25" s="407"/>
      <c r="M25" s="407"/>
      <c r="N25" s="407"/>
      <c r="O25" s="407"/>
      <c r="P25" s="407"/>
      <c r="Q25" s="408"/>
      <c r="R25" s="281"/>
      <c r="S25" s="282"/>
      <c r="T25" s="282"/>
      <c r="U25" s="407"/>
      <c r="V25" s="407"/>
      <c r="W25" s="407"/>
      <c r="X25" s="407"/>
      <c r="Y25" s="407"/>
      <c r="Z25" s="407"/>
      <c r="AA25" s="407"/>
      <c r="AB25" s="407"/>
      <c r="AC25" s="407"/>
      <c r="AD25" s="407"/>
      <c r="AE25" s="407"/>
      <c r="AF25" s="407"/>
      <c r="AG25" s="407"/>
      <c r="AH25" s="407"/>
      <c r="AI25" s="407"/>
      <c r="AJ25" s="407"/>
      <c r="AK25" s="407"/>
      <c r="AL25" s="407"/>
      <c r="AM25" s="407"/>
      <c r="AN25" s="408"/>
    </row>
    <row r="26" spans="1:40" ht="15.75" customHeight="1">
      <c r="A26" s="281"/>
      <c r="B26" s="425"/>
      <c r="C26" s="282"/>
      <c r="D26" s="1146" t="str">
        <f>Cover!AB35</f>
        <v>14 Test / Inspection equipment list</v>
      </c>
      <c r="E26" s="1146"/>
      <c r="F26" s="1146"/>
      <c r="G26" s="1146"/>
      <c r="H26" s="1146"/>
      <c r="I26" s="1146"/>
      <c r="J26" s="1146"/>
      <c r="K26" s="1146"/>
      <c r="L26" s="1146"/>
      <c r="M26" s="1146"/>
      <c r="N26" s="1146"/>
      <c r="O26" s="1146"/>
      <c r="P26" s="1146"/>
      <c r="Q26" s="1147"/>
      <c r="R26" s="281"/>
      <c r="S26" s="425"/>
      <c r="T26" s="282"/>
      <c r="U26" s="1146" t="str">
        <f>Cover!BU35</f>
        <v xml:space="preserve">22 Approval of coating systems </v>
      </c>
      <c r="V26" s="1146"/>
      <c r="W26" s="1146"/>
      <c r="X26" s="1146"/>
      <c r="Y26" s="1146"/>
      <c r="Z26" s="1146"/>
      <c r="AA26" s="1146"/>
      <c r="AB26" s="1146"/>
      <c r="AC26" s="1146"/>
      <c r="AD26" s="1146"/>
      <c r="AE26" s="1146"/>
      <c r="AF26" s="1146"/>
      <c r="AG26" s="1146"/>
      <c r="AH26" s="1146"/>
      <c r="AI26" s="1146"/>
      <c r="AJ26" s="1146"/>
      <c r="AK26" s="1146"/>
      <c r="AL26" s="1146"/>
      <c r="AM26" s="1146"/>
      <c r="AN26" s="1147"/>
    </row>
    <row r="27" spans="1:40" ht="3" customHeight="1">
      <c r="A27" s="281"/>
      <c r="B27" s="282"/>
      <c r="C27" s="282"/>
      <c r="D27" s="407"/>
      <c r="E27" s="407"/>
      <c r="F27" s="407"/>
      <c r="G27" s="407"/>
      <c r="H27" s="407"/>
      <c r="I27" s="407"/>
      <c r="J27" s="407"/>
      <c r="K27" s="407"/>
      <c r="L27" s="407"/>
      <c r="M27" s="407"/>
      <c r="N27" s="407"/>
      <c r="O27" s="407"/>
      <c r="P27" s="407"/>
      <c r="Q27" s="408"/>
      <c r="R27" s="281"/>
      <c r="S27" s="282"/>
      <c r="T27" s="282"/>
      <c r="U27" s="407"/>
      <c r="V27" s="407"/>
      <c r="W27" s="407"/>
      <c r="X27" s="407"/>
      <c r="Y27" s="407"/>
      <c r="Z27" s="407"/>
      <c r="AA27" s="407"/>
      <c r="AB27" s="407"/>
      <c r="AC27" s="407"/>
      <c r="AD27" s="407"/>
      <c r="AE27" s="407"/>
      <c r="AF27" s="407"/>
      <c r="AG27" s="407"/>
      <c r="AH27" s="407"/>
      <c r="AI27" s="407"/>
      <c r="AJ27" s="407"/>
      <c r="AK27" s="407"/>
      <c r="AL27" s="407"/>
      <c r="AM27" s="407"/>
      <c r="AN27" s="408"/>
    </row>
    <row r="28" spans="1:40" ht="3" customHeight="1">
      <c r="A28" s="281"/>
      <c r="B28" s="282"/>
      <c r="C28" s="282"/>
      <c r="D28" s="407"/>
      <c r="E28" s="407"/>
      <c r="F28" s="407"/>
      <c r="G28" s="407"/>
      <c r="H28" s="407"/>
      <c r="I28" s="407"/>
      <c r="J28" s="407"/>
      <c r="K28" s="407"/>
      <c r="L28" s="407"/>
      <c r="M28" s="407"/>
      <c r="N28" s="407"/>
      <c r="O28" s="407"/>
      <c r="P28" s="407"/>
      <c r="Q28" s="408"/>
      <c r="R28" s="281"/>
      <c r="S28" s="282"/>
      <c r="T28" s="282"/>
      <c r="U28" s="407"/>
      <c r="V28" s="407"/>
      <c r="W28" s="407"/>
      <c r="X28" s="407"/>
      <c r="Y28" s="407"/>
      <c r="Z28" s="407"/>
      <c r="AA28" s="407"/>
      <c r="AB28" s="407"/>
      <c r="AC28" s="407"/>
      <c r="AD28" s="407"/>
      <c r="AE28" s="407"/>
      <c r="AF28" s="407"/>
      <c r="AG28" s="407"/>
      <c r="AH28" s="407"/>
      <c r="AI28" s="407"/>
      <c r="AJ28" s="407"/>
      <c r="AK28" s="407"/>
      <c r="AL28" s="407"/>
      <c r="AM28" s="407"/>
      <c r="AN28" s="408"/>
    </row>
    <row r="29" spans="1:40" ht="15.75" customHeight="1">
      <c r="A29" s="281"/>
      <c r="B29" s="425"/>
      <c r="C29" s="282"/>
      <c r="D29" s="1146" t="str">
        <f>Cover!AB37</f>
        <v>15 Capability study testing equipment</v>
      </c>
      <c r="E29" s="1146"/>
      <c r="F29" s="1146"/>
      <c r="G29" s="1146"/>
      <c r="H29" s="1146"/>
      <c r="I29" s="1146"/>
      <c r="J29" s="1146"/>
      <c r="K29" s="1146"/>
      <c r="L29" s="1146"/>
      <c r="M29" s="1146"/>
      <c r="N29" s="1146"/>
      <c r="O29" s="1146"/>
      <c r="P29" s="1146"/>
      <c r="Q29" s="1147"/>
      <c r="R29" s="281"/>
      <c r="S29" s="425"/>
      <c r="T29" s="282"/>
      <c r="U29" s="407">
        <v>23</v>
      </c>
      <c r="V29" s="1146" t="str">
        <f>Cover!BX37</f>
        <v>Other</v>
      </c>
      <c r="W29" s="1146"/>
      <c r="X29" s="1146"/>
      <c r="Y29" s="1146"/>
      <c r="Z29" s="1146"/>
      <c r="AA29" s="1146"/>
      <c r="AB29" s="1146"/>
      <c r="AC29" s="1146"/>
      <c r="AD29" s="1146"/>
      <c r="AE29" s="1146"/>
      <c r="AF29" s="1146"/>
      <c r="AG29" s="1146"/>
      <c r="AH29" s="1146"/>
      <c r="AI29" s="1146"/>
      <c r="AJ29" s="1146"/>
      <c r="AK29" s="1146"/>
      <c r="AL29" s="1146"/>
      <c r="AM29" s="1146"/>
      <c r="AN29" s="1147"/>
    </row>
    <row r="30" spans="1:40" ht="3" customHeight="1" thickBot="1">
      <c r="A30" s="374"/>
      <c r="B30" s="375"/>
      <c r="C30" s="375"/>
      <c r="D30" s="376"/>
      <c r="E30" s="376"/>
      <c r="F30" s="376"/>
      <c r="G30" s="376"/>
      <c r="H30" s="376"/>
      <c r="I30" s="376"/>
      <c r="J30" s="376"/>
      <c r="K30" s="376"/>
      <c r="L30" s="376"/>
      <c r="M30" s="376"/>
      <c r="N30" s="376"/>
      <c r="O30" s="376"/>
      <c r="P30" s="376"/>
      <c r="Q30" s="377"/>
      <c r="R30" s="375"/>
      <c r="S30" s="375"/>
      <c r="T30" s="375"/>
      <c r="U30" s="378"/>
      <c r="V30" s="376"/>
      <c r="W30" s="376"/>
      <c r="X30" s="376"/>
      <c r="Y30" s="376"/>
      <c r="Z30" s="376"/>
      <c r="AA30" s="376"/>
      <c r="AB30" s="376"/>
      <c r="AC30" s="376"/>
      <c r="AD30" s="376"/>
      <c r="AE30" s="376"/>
      <c r="AF30" s="376"/>
      <c r="AG30" s="376"/>
      <c r="AH30" s="376"/>
      <c r="AI30" s="376"/>
      <c r="AJ30" s="376"/>
      <c r="AK30" s="376"/>
      <c r="AL30" s="376"/>
      <c r="AM30" s="376"/>
      <c r="AN30" s="377"/>
    </row>
    <row r="31" spans="1:40" ht="3" customHeight="1" thickBot="1">
      <c r="A31" s="113"/>
      <c r="B31" s="113"/>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3"/>
      <c r="AL31" s="113"/>
      <c r="AM31" s="113"/>
      <c r="AN31" s="113"/>
    </row>
    <row r="32" spans="1:40" ht="16.5" customHeight="1">
      <c r="A32" s="919" t="str">
        <f>Content!A4</f>
        <v>Supplier/Production plant:</v>
      </c>
      <c r="B32" s="920"/>
      <c r="C32" s="920"/>
      <c r="D32" s="920"/>
      <c r="E32" s="920"/>
      <c r="F32" s="920"/>
      <c r="G32" s="920"/>
      <c r="H32" s="920"/>
      <c r="I32" s="920"/>
      <c r="J32" s="920"/>
      <c r="K32" s="923">
        <f>Cover!H41</f>
        <v>0</v>
      </c>
      <c r="L32" s="923"/>
      <c r="M32" s="923"/>
      <c r="N32" s="923"/>
      <c r="O32" s="923"/>
      <c r="P32" s="923"/>
      <c r="Q32" s="924"/>
      <c r="R32" s="919" t="str">
        <f>Content!Q4</f>
        <v>Customer:</v>
      </c>
      <c r="S32" s="920"/>
      <c r="T32" s="920"/>
      <c r="U32" s="920"/>
      <c r="V32" s="920"/>
      <c r="W32" s="920"/>
      <c r="X32" s="920"/>
      <c r="Y32" s="923">
        <f>Cover!CP41</f>
        <v>0</v>
      </c>
      <c r="Z32" s="923"/>
      <c r="AA32" s="923"/>
      <c r="AB32" s="923"/>
      <c r="AC32" s="923"/>
      <c r="AD32" s="923"/>
      <c r="AE32" s="923"/>
      <c r="AF32" s="923"/>
      <c r="AG32" s="923"/>
      <c r="AH32" s="923"/>
      <c r="AI32" s="923"/>
      <c r="AJ32" s="923"/>
      <c r="AK32" s="923"/>
      <c r="AL32" s="923"/>
      <c r="AM32" s="923"/>
      <c r="AN32" s="924"/>
    </row>
    <row r="33" spans="1:40" ht="16.5" customHeight="1">
      <c r="A33" s="1176" t="str">
        <f>Content!A5</f>
        <v>ID number / DUNS:</v>
      </c>
      <c r="B33" s="1177"/>
      <c r="C33" s="1177"/>
      <c r="D33" s="1177"/>
      <c r="E33" s="1177"/>
      <c r="F33" s="1177"/>
      <c r="G33" s="1177"/>
      <c r="H33" s="1177"/>
      <c r="I33" s="925">
        <f>Cover!AM41</f>
        <v>0</v>
      </c>
      <c r="J33" s="925"/>
      <c r="K33" s="925"/>
      <c r="L33" s="925"/>
      <c r="M33" s="925"/>
      <c r="N33" s="925"/>
      <c r="O33" s="925"/>
      <c r="P33" s="925"/>
      <c r="Q33" s="926"/>
      <c r="R33" s="1176" t="str">
        <f>Content!Q5</f>
        <v>ID number:</v>
      </c>
      <c r="S33" s="1177"/>
      <c r="T33" s="1177"/>
      <c r="U33" s="1177"/>
      <c r="V33" s="1177"/>
      <c r="W33" s="1177"/>
      <c r="X33" s="1177"/>
      <c r="Y33" s="925"/>
      <c r="Z33" s="925"/>
      <c r="AA33" s="925"/>
      <c r="AB33" s="925"/>
      <c r="AC33" s="925"/>
      <c r="AD33" s="925"/>
      <c r="AE33" s="925"/>
      <c r="AF33" s="925"/>
      <c r="AG33" s="925"/>
      <c r="AH33" s="925"/>
      <c r="AI33" s="925"/>
      <c r="AJ33" s="925"/>
      <c r="AK33" s="925"/>
      <c r="AL33" s="925"/>
      <c r="AM33" s="925"/>
      <c r="AN33" s="926"/>
    </row>
    <row r="34" spans="1:40" ht="16.5" customHeight="1">
      <c r="A34" s="1176" t="str">
        <f>Content!A6</f>
        <v>Report No.:</v>
      </c>
      <c r="B34" s="1177"/>
      <c r="C34" s="1177"/>
      <c r="D34" s="1177"/>
      <c r="E34" s="1177"/>
      <c r="F34" s="1177"/>
      <c r="G34" s="925">
        <f>Cover!CP42</f>
        <v>0</v>
      </c>
      <c r="H34" s="925"/>
      <c r="I34" s="925"/>
      <c r="J34" s="925"/>
      <c r="K34" s="925"/>
      <c r="L34" s="1122" t="s">
        <v>69</v>
      </c>
      <c r="M34" s="1122"/>
      <c r="N34" s="927"/>
      <c r="O34" s="927"/>
      <c r="P34" s="927"/>
      <c r="Q34" s="928"/>
      <c r="R34" s="1176" t="str">
        <f>Content!Q6</f>
        <v>Report No.:</v>
      </c>
      <c r="S34" s="1177"/>
      <c r="T34" s="1177"/>
      <c r="U34" s="1177"/>
      <c r="V34" s="1177"/>
      <c r="W34" s="1177"/>
      <c r="X34" s="1177"/>
      <c r="Y34" s="925"/>
      <c r="Z34" s="925"/>
      <c r="AA34" s="925"/>
      <c r="AB34" s="925"/>
      <c r="AC34" s="925"/>
      <c r="AD34" s="925"/>
      <c r="AE34" s="925"/>
      <c r="AF34" s="925"/>
      <c r="AG34" s="925"/>
      <c r="AH34" s="1122" t="s">
        <v>69</v>
      </c>
      <c r="AI34" s="1122"/>
      <c r="AJ34" s="1122"/>
      <c r="AK34" s="927"/>
      <c r="AL34" s="927"/>
      <c r="AM34" s="927"/>
      <c r="AN34" s="928"/>
    </row>
    <row r="35" spans="1:40" ht="16.5" customHeight="1">
      <c r="A35" s="1009" t="str">
        <f>Content!A7</f>
        <v>Part description:</v>
      </c>
      <c r="B35" s="1010"/>
      <c r="C35" s="1010"/>
      <c r="D35" s="1010"/>
      <c r="E35" s="1010"/>
      <c r="F35" s="1010"/>
      <c r="G35" s="938">
        <f>Cover!G42</f>
        <v>0</v>
      </c>
      <c r="H35" s="938"/>
      <c r="I35" s="938"/>
      <c r="J35" s="938"/>
      <c r="K35" s="938"/>
      <c r="L35" s="938"/>
      <c r="M35" s="938"/>
      <c r="N35" s="938"/>
      <c r="O35" s="938"/>
      <c r="P35" s="938"/>
      <c r="Q35" s="939"/>
      <c r="R35" s="1009" t="str">
        <f>Content!A7</f>
        <v>Part description:</v>
      </c>
      <c r="S35" s="1010"/>
      <c r="T35" s="1010"/>
      <c r="U35" s="1010"/>
      <c r="V35" s="1010"/>
      <c r="W35" s="1010"/>
      <c r="X35" s="1010"/>
      <c r="Y35" s="938"/>
      <c r="Z35" s="938"/>
      <c r="AA35" s="938"/>
      <c r="AB35" s="938"/>
      <c r="AC35" s="938"/>
      <c r="AD35" s="938"/>
      <c r="AE35" s="938"/>
      <c r="AF35" s="938"/>
      <c r="AG35" s="938"/>
      <c r="AH35" s="938"/>
      <c r="AI35" s="938"/>
      <c r="AJ35" s="938"/>
      <c r="AK35" s="938"/>
      <c r="AL35" s="938"/>
      <c r="AM35" s="938"/>
      <c r="AN35" s="939"/>
    </row>
    <row r="36" spans="1:40" ht="16.5" customHeight="1">
      <c r="A36" s="1012" t="str">
        <f>Cover!B43</f>
        <v>Part number:</v>
      </c>
      <c r="B36" s="1013"/>
      <c r="C36" s="1013"/>
      <c r="D36" s="1013"/>
      <c r="E36" s="1013"/>
      <c r="F36" s="1013"/>
      <c r="G36" s="1119">
        <f>Cover!G43</f>
        <v>0</v>
      </c>
      <c r="H36" s="1119"/>
      <c r="I36" s="1119"/>
      <c r="J36" s="1119"/>
      <c r="K36" s="1119"/>
      <c r="L36" s="1119"/>
      <c r="M36" s="1119"/>
      <c r="N36" s="1119"/>
      <c r="O36" s="1119"/>
      <c r="P36" s="1119"/>
      <c r="Q36" s="1120"/>
      <c r="R36" s="1012" t="str">
        <f>A36</f>
        <v>Part number:</v>
      </c>
      <c r="S36" s="1013"/>
      <c r="T36" s="1013"/>
      <c r="U36" s="1013"/>
      <c r="V36" s="1013"/>
      <c r="W36" s="1013"/>
      <c r="X36" s="1013"/>
      <c r="Y36" s="1119"/>
      <c r="Z36" s="1119"/>
      <c r="AA36" s="1119"/>
      <c r="AB36" s="1119"/>
      <c r="AC36" s="1119"/>
      <c r="AD36" s="1119"/>
      <c r="AE36" s="1119"/>
      <c r="AF36" s="1119"/>
      <c r="AG36" s="1119"/>
      <c r="AH36" s="1119"/>
      <c r="AI36" s="1119"/>
      <c r="AJ36" s="1119"/>
      <c r="AK36" s="1119"/>
      <c r="AL36" s="1119"/>
      <c r="AM36" s="1119"/>
      <c r="AN36" s="1120"/>
    </row>
    <row r="37" spans="1:40" ht="16.5" customHeight="1">
      <c r="A37" s="1012" t="str">
        <f>Content!Q7</f>
        <v>Drawing number:</v>
      </c>
      <c r="B37" s="1013"/>
      <c r="C37" s="1013"/>
      <c r="D37" s="1013"/>
      <c r="E37" s="1013"/>
      <c r="F37" s="1013"/>
      <c r="G37" s="1013"/>
      <c r="H37" s="1119">
        <f>Cover!G44</f>
        <v>0</v>
      </c>
      <c r="I37" s="1119"/>
      <c r="J37" s="1119"/>
      <c r="K37" s="1119"/>
      <c r="L37" s="1119"/>
      <c r="M37" s="1119"/>
      <c r="N37" s="1119"/>
      <c r="O37" s="1119"/>
      <c r="P37" s="1119"/>
      <c r="Q37" s="1120"/>
      <c r="R37" s="1012" t="str">
        <f>Content!Q7</f>
        <v>Drawing number:</v>
      </c>
      <c r="S37" s="1013"/>
      <c r="T37" s="1013"/>
      <c r="U37" s="1013"/>
      <c r="V37" s="1013"/>
      <c r="W37" s="1013"/>
      <c r="X37" s="1013"/>
      <c r="Y37" s="1013"/>
      <c r="Z37" s="1013"/>
      <c r="AA37" s="1119"/>
      <c r="AB37" s="1119"/>
      <c r="AC37" s="1119"/>
      <c r="AD37" s="1119"/>
      <c r="AE37" s="1119"/>
      <c r="AF37" s="1119"/>
      <c r="AG37" s="1119"/>
      <c r="AH37" s="1119"/>
      <c r="AI37" s="1119"/>
      <c r="AJ37" s="1119"/>
      <c r="AK37" s="1119"/>
      <c r="AL37" s="1119"/>
      <c r="AM37" s="1119"/>
      <c r="AN37" s="1120"/>
    </row>
    <row r="38" spans="1:40" ht="16.5" customHeight="1" thickBot="1">
      <c r="A38" s="1175" t="str">
        <f>Content!Q8</f>
        <v>Issue / Date:</v>
      </c>
      <c r="B38" s="900"/>
      <c r="C38" s="900"/>
      <c r="D38" s="900"/>
      <c r="E38" s="900"/>
      <c r="F38" s="900"/>
      <c r="G38" s="940">
        <f>Cover!G45</f>
        <v>0</v>
      </c>
      <c r="H38" s="940"/>
      <c r="I38" s="940"/>
      <c r="J38" s="940"/>
      <c r="K38" s="940"/>
      <c r="L38" s="940"/>
      <c r="M38" s="940"/>
      <c r="N38" s="940"/>
      <c r="O38" s="940"/>
      <c r="P38" s="940"/>
      <c r="Q38" s="941"/>
      <c r="R38" s="1175" t="str">
        <f>Content!Q8</f>
        <v>Issue / Date:</v>
      </c>
      <c r="S38" s="900"/>
      <c r="T38" s="900"/>
      <c r="U38" s="900"/>
      <c r="V38" s="900"/>
      <c r="W38" s="900"/>
      <c r="X38" s="900"/>
      <c r="Y38" s="940"/>
      <c r="Z38" s="940"/>
      <c r="AA38" s="940"/>
      <c r="AB38" s="940"/>
      <c r="AC38" s="940"/>
      <c r="AD38" s="940"/>
      <c r="AE38" s="940"/>
      <c r="AF38" s="940"/>
      <c r="AG38" s="940"/>
      <c r="AH38" s="940"/>
      <c r="AI38" s="940"/>
      <c r="AJ38" s="940"/>
      <c r="AK38" s="940"/>
      <c r="AL38" s="940"/>
      <c r="AM38" s="940"/>
      <c r="AN38" s="941"/>
    </row>
    <row r="39" spans="1:40" ht="15.75" customHeight="1">
      <c r="A39" s="8"/>
      <c r="B39" s="1793" t="str">
        <f>VLOOKUP("Beurteilung Teil",Translations!$A:$T,MATCH(Cover!DR19,Translations!A2:P2,0),0)</f>
        <v>Assessment: Product</v>
      </c>
      <c r="C39" s="1793"/>
      <c r="D39" s="1793"/>
      <c r="E39" s="1793"/>
      <c r="F39" s="1793"/>
      <c r="G39" s="1793"/>
      <c r="H39" s="1793"/>
      <c r="I39" s="1794"/>
      <c r="J39" s="1794"/>
      <c r="K39" s="1794"/>
      <c r="L39" s="1794"/>
      <c r="M39" s="1794"/>
      <c r="N39" s="1794"/>
      <c r="O39" s="1794"/>
      <c r="P39" s="1794"/>
      <c r="Q39" s="1794"/>
      <c r="R39" s="1794"/>
      <c r="S39" s="1794"/>
      <c r="T39" s="1794"/>
      <c r="U39" s="1794"/>
      <c r="V39" s="1794"/>
      <c r="W39" s="1794"/>
      <c r="X39" s="1794"/>
      <c r="Y39" s="1794"/>
      <c r="Z39" s="1794"/>
      <c r="AA39" s="1794"/>
      <c r="AB39" s="1794"/>
      <c r="AC39" s="1794"/>
      <c r="AD39" s="1794"/>
      <c r="AE39" s="1794"/>
      <c r="AF39" s="1794"/>
      <c r="AG39" s="1794"/>
      <c r="AH39" s="1794"/>
      <c r="AI39" s="1794"/>
      <c r="AJ39" s="1794"/>
      <c r="AK39" s="1794"/>
      <c r="AL39" s="1794"/>
      <c r="AM39" s="1794"/>
      <c r="AN39" s="1795"/>
    </row>
    <row r="40" spans="1:40" ht="11.45" customHeight="1" thickBot="1">
      <c r="A40" s="8"/>
      <c r="B40" s="1722"/>
      <c r="C40" s="1722"/>
      <c r="D40" s="1722"/>
      <c r="E40" s="1722"/>
      <c r="F40" s="1722"/>
      <c r="G40" s="1722"/>
      <c r="H40" s="1722"/>
      <c r="I40" s="1722"/>
      <c r="J40" s="1722"/>
      <c r="K40" s="1722"/>
      <c r="L40" s="1722"/>
      <c r="M40" s="1722"/>
      <c r="N40" s="1722"/>
      <c r="O40" s="1722"/>
      <c r="P40" s="1722"/>
      <c r="Q40" s="1722"/>
      <c r="R40" s="1722"/>
      <c r="S40" s="1722"/>
      <c r="T40" s="1722"/>
      <c r="U40" s="1722"/>
      <c r="V40" s="1722"/>
      <c r="W40" s="1722"/>
      <c r="X40" s="1722"/>
      <c r="Y40" s="1722"/>
      <c r="Z40" s="1722"/>
      <c r="AA40" s="1722"/>
      <c r="AB40" s="1722"/>
      <c r="AC40" s="1722"/>
      <c r="AD40" s="1722"/>
      <c r="AE40" s="1722"/>
      <c r="AF40" s="1722"/>
      <c r="AG40" s="1722"/>
      <c r="AH40" s="1722"/>
      <c r="AI40" s="1722"/>
      <c r="AJ40" s="1722"/>
      <c r="AK40" s="1722"/>
      <c r="AL40" s="1722"/>
      <c r="AM40" s="1722"/>
      <c r="AN40" s="1723"/>
    </row>
    <row r="41" spans="1:40" ht="15" thickBot="1">
      <c r="A41" s="1703" t="str">
        <f>VLOOKUP("sachnummer",Translations!$A:$T,MATCH(Cover!DR19,Translations!A2:P2,0),0)</f>
        <v>Part number:</v>
      </c>
      <c r="B41" s="1697"/>
      <c r="C41" s="1697"/>
      <c r="D41" s="1697"/>
      <c r="E41" s="1697"/>
      <c r="F41" s="1698"/>
      <c r="G41" s="1700"/>
      <c r="H41" s="1701"/>
      <c r="I41" s="1701"/>
      <c r="J41" s="1701"/>
      <c r="K41" s="1701"/>
      <c r="L41" s="1702"/>
      <c r="M41"/>
      <c r="N41" s="1697" t="str">
        <f>VLOOKUP("benennung",Translations!$A:$T,MATCH(Cover!DR19,Translations!A2:P2,0),0)</f>
        <v>Part description:</v>
      </c>
      <c r="O41" s="1697"/>
      <c r="P41" s="1697"/>
      <c r="Q41" s="1697"/>
      <c r="R41" s="1697"/>
      <c r="S41" s="1697"/>
      <c r="T41" s="1697"/>
      <c r="U41" s="1698"/>
      <c r="V41" s="1725"/>
      <c r="W41" s="1726"/>
      <c r="X41" s="1726"/>
      <c r="Y41" s="1726"/>
      <c r="Z41" s="1726"/>
      <c r="AA41" s="1726"/>
      <c r="AB41" s="1726"/>
      <c r="AC41" s="1726"/>
      <c r="AD41" s="1726"/>
      <c r="AE41" s="1726"/>
      <c r="AF41" s="1726"/>
      <c r="AG41" s="1726"/>
      <c r="AH41" s="1727"/>
      <c r="AI41" s="1724"/>
      <c r="AJ41" s="1722"/>
      <c r="AK41" s="1722"/>
      <c r="AL41" s="1722"/>
      <c r="AM41" s="1722"/>
      <c r="AN41" s="1723"/>
    </row>
    <row r="42" spans="1:40" ht="13.5" thickBot="1">
      <c r="A42" s="8"/>
      <c r="B42" s="1722"/>
      <c r="C42" s="1722"/>
      <c r="D42" s="1722"/>
      <c r="E42" s="1722"/>
      <c r="F42" s="1722"/>
      <c r="G42" s="1722"/>
      <c r="H42" s="1722"/>
      <c r="I42" s="1722"/>
      <c r="J42" s="1722"/>
      <c r="K42" s="1722"/>
      <c r="L42" s="1722"/>
      <c r="M42" s="1722"/>
      <c r="N42" s="1722"/>
      <c r="O42" s="1722"/>
      <c r="P42" s="1722"/>
      <c r="Q42" s="1722"/>
      <c r="R42" s="1722"/>
      <c r="S42" s="1722"/>
      <c r="T42" s="1722"/>
      <c r="U42" s="1722"/>
      <c r="V42" s="1722"/>
      <c r="W42" s="1722"/>
      <c r="X42" s="1722"/>
      <c r="Y42" s="1722"/>
      <c r="Z42" s="1722"/>
      <c r="AA42" s="1722"/>
      <c r="AB42" s="1722"/>
      <c r="AC42" s="1722"/>
      <c r="AD42" s="1722"/>
      <c r="AE42" s="1722"/>
      <c r="AF42" s="1722"/>
      <c r="AG42" s="1722"/>
      <c r="AH42" s="1722"/>
      <c r="AI42" s="1722"/>
      <c r="AJ42" s="1722"/>
      <c r="AK42" s="1722"/>
      <c r="AL42" s="1722"/>
      <c r="AM42" s="1722"/>
      <c r="AN42" s="1723"/>
    </row>
    <row r="43" spans="1:40" ht="15" thickBot="1">
      <c r="A43" s="8"/>
      <c r="B43" s="1697" t="str">
        <f>VLOOKUP("lieferantproduktionsstandort",Translations!$A:$T,MATCH(Cover!DR19,Translations!A2:P2,0),0)</f>
        <v>Supplier/Production plant:</v>
      </c>
      <c r="C43" s="1697"/>
      <c r="D43" s="1697"/>
      <c r="E43" s="1697"/>
      <c r="F43" s="1698"/>
      <c r="G43" s="1700"/>
      <c r="H43" s="1701"/>
      <c r="I43" s="1701"/>
      <c r="J43" s="1701"/>
      <c r="K43" s="1701"/>
      <c r="L43" s="1702"/>
      <c r="M43" s="302"/>
      <c r="N43" s="1697" t="str">
        <f>VLOOKUP("Farbe",Translations!$A:$T,MATCH(Cover!DR19,Translations!A2:P2,0),0)</f>
        <v>Colour:</v>
      </c>
      <c r="O43" s="1697"/>
      <c r="P43" s="1697"/>
      <c r="Q43" s="1697"/>
      <c r="R43" s="1697"/>
      <c r="S43" s="1697"/>
      <c r="T43" s="1697"/>
      <c r="U43" s="1698"/>
      <c r="V43" s="1700"/>
      <c r="W43" s="1701"/>
      <c r="X43" s="1701"/>
      <c r="Y43" s="1701"/>
      <c r="Z43" s="1701"/>
      <c r="AA43" s="1701"/>
      <c r="AB43" s="1701"/>
      <c r="AC43" s="1701"/>
      <c r="AD43" s="1701"/>
      <c r="AE43" s="1701"/>
      <c r="AF43" s="1701"/>
      <c r="AG43" s="1701"/>
      <c r="AH43" s="1702"/>
      <c r="AI43" s="302"/>
      <c r="AJ43" s="302"/>
      <c r="AK43" s="302"/>
      <c r="AL43" s="302"/>
      <c r="AM43" s="302"/>
      <c r="AN43" s="4"/>
    </row>
    <row r="44" spans="1:40">
      <c r="A44" s="8"/>
      <c r="B44" s="330"/>
      <c r="C44" s="330"/>
      <c r="D44" s="330"/>
      <c r="E44" s="330"/>
      <c r="F44" s="330"/>
      <c r="G44" s="330"/>
      <c r="H44" s="330"/>
      <c r="I44" s="330"/>
      <c r="J44" s="330"/>
      <c r="K44" s="330"/>
      <c r="L44" s="330"/>
      <c r="M44" s="330"/>
      <c r="N44" s="1699"/>
      <c r="O44" s="1699"/>
      <c r="P44" s="1699"/>
      <c r="Q44" s="1699"/>
      <c r="R44" s="1699"/>
      <c r="S44" s="1699"/>
      <c r="T44" s="1699"/>
      <c r="U44" s="1699"/>
      <c r="V44" s="431"/>
      <c r="AI44" s="302"/>
      <c r="AJ44" s="302"/>
      <c r="AK44" s="302"/>
      <c r="AL44" s="302"/>
      <c r="AM44" s="302"/>
      <c r="AN44" s="4"/>
    </row>
    <row r="45" spans="1:40" ht="6.75" customHeight="1" thickBot="1">
      <c r="A45" s="2"/>
      <c r="B45" s="331"/>
      <c r="C45" s="331"/>
      <c r="D45" s="331"/>
      <c r="E45" s="331"/>
      <c r="F45" s="331"/>
      <c r="G45" s="331"/>
      <c r="H45" s="331"/>
      <c r="I45" s="331"/>
      <c r="J45" s="331"/>
      <c r="K45" s="331"/>
      <c r="L45" s="331"/>
      <c r="M45" s="331"/>
      <c r="N45" s="331"/>
      <c r="O45" s="331"/>
      <c r="P45" s="331"/>
      <c r="Q45" s="5"/>
      <c r="R45" s="5"/>
      <c r="S45" s="5"/>
      <c r="T45" s="5"/>
      <c r="U45" s="5"/>
      <c r="V45" s="5"/>
      <c r="W45" s="5"/>
      <c r="X45" s="5"/>
      <c r="Y45" s="5"/>
      <c r="Z45" s="5"/>
      <c r="AA45" s="5"/>
      <c r="AB45" s="5"/>
      <c r="AC45" s="5"/>
      <c r="AD45" s="5"/>
      <c r="AE45" s="5"/>
      <c r="AF45" s="5"/>
      <c r="AG45" s="5"/>
      <c r="AH45" s="5"/>
      <c r="AI45" s="5"/>
      <c r="AJ45" s="5"/>
      <c r="AK45" s="5"/>
      <c r="AL45" s="5"/>
      <c r="AM45" s="5"/>
      <c r="AN45" s="3"/>
    </row>
    <row r="46" spans="1:40" s="516" customFormat="1" ht="15">
      <c r="A46" s="513"/>
      <c r="B46" s="1792" t="str">
        <f>VLOOKUP("Entwurfsstufe",Translations!$A:$T,MATCH(Cover!DR19,Translations!A2:P2,0),0)</f>
        <v>Design level:</v>
      </c>
      <c r="C46" s="1792"/>
      <c r="D46" s="1792"/>
      <c r="E46" s="1792"/>
      <c r="F46" s="1792"/>
      <c r="G46" s="514"/>
      <c r="H46" s="514"/>
      <c r="I46" s="514"/>
      <c r="J46" s="514"/>
      <c r="K46" s="514"/>
      <c r="L46" s="514"/>
      <c r="M46" s="514"/>
      <c r="N46" s="514"/>
      <c r="O46" s="514"/>
      <c r="P46" s="514"/>
      <c r="Q46" s="514"/>
      <c r="R46" s="514"/>
      <c r="S46" s="514"/>
      <c r="T46" s="514"/>
      <c r="U46" s="514"/>
      <c r="V46" s="514"/>
      <c r="W46" s="514"/>
      <c r="X46" s="514"/>
      <c r="Y46" s="514"/>
      <c r="Z46" s="514"/>
      <c r="AA46" s="514"/>
      <c r="AB46" s="514"/>
      <c r="AC46" s="514"/>
      <c r="AD46" s="514"/>
      <c r="AE46" s="514"/>
      <c r="AF46" s="514"/>
      <c r="AG46" s="514"/>
      <c r="AH46" s="514"/>
      <c r="AI46" s="514"/>
      <c r="AJ46" s="514"/>
      <c r="AK46" s="514"/>
      <c r="AL46" s="514"/>
      <c r="AM46" s="514"/>
      <c r="AN46" s="515"/>
    </row>
    <row r="47" spans="1:40" ht="13.5" thickBot="1">
      <c r="A47" s="8"/>
      <c r="B47" s="302"/>
      <c r="C47" s="302"/>
      <c r="D47" s="302"/>
      <c r="E47" s="302"/>
      <c r="F47" s="302"/>
      <c r="G47" s="302"/>
      <c r="H47" s="302"/>
      <c r="I47" s="302"/>
      <c r="J47" s="302"/>
      <c r="K47" s="302"/>
      <c r="L47" s="302"/>
      <c r="M47" s="302"/>
      <c r="N47" s="302"/>
      <c r="O47" s="302"/>
      <c r="P47" s="302"/>
      <c r="Q47" s="302"/>
      <c r="R47" s="302"/>
      <c r="S47" s="302"/>
      <c r="T47" s="302"/>
      <c r="U47" s="302"/>
      <c r="V47" s="302"/>
      <c r="W47" s="302"/>
      <c r="X47" s="302"/>
      <c r="Y47" s="302"/>
      <c r="Z47" s="302"/>
      <c r="AA47" s="302"/>
      <c r="AB47" s="302"/>
      <c r="AC47" s="302"/>
      <c r="AD47" s="302"/>
      <c r="AE47" s="302"/>
      <c r="AF47" s="302"/>
      <c r="AG47" s="302"/>
      <c r="AH47" s="302"/>
      <c r="AI47" s="302"/>
      <c r="AJ47" s="302"/>
      <c r="AK47" s="302"/>
      <c r="AL47" s="302"/>
      <c r="AM47" s="302"/>
      <c r="AN47" s="4"/>
    </row>
    <row r="48" spans="1:40" ht="15" thickBot="1">
      <c r="A48" s="1703" t="str">
        <f>VLOOKUP("Y",Translations!$A:$T,MATCH(Cover!DR19,Translations!A2:P2,0),0)</f>
        <v>Presented:</v>
      </c>
      <c r="B48" s="1697"/>
      <c r="C48" s="1697"/>
      <c r="D48" s="1697"/>
      <c r="E48" s="1697"/>
      <c r="F48" s="1698"/>
      <c r="G48" s="1700"/>
      <c r="H48" s="1701"/>
      <c r="I48" s="1701"/>
      <c r="J48" s="1701"/>
      <c r="K48" s="1701"/>
      <c r="L48" s="1702"/>
      <c r="M48" s="302"/>
      <c r="N48" s="1697" t="str">
        <f>VLOOKUP("x",Translations!$A:$T,MATCH(Cover!DR19,Translations!A2:P2,0),0)</f>
        <v>Current:</v>
      </c>
      <c r="O48" s="1697"/>
      <c r="P48" s="1697"/>
      <c r="Q48" s="1697"/>
      <c r="R48" s="1697"/>
      <c r="S48" s="1697"/>
      <c r="T48" s="1697"/>
      <c r="U48" s="1698"/>
      <c r="V48" s="1700"/>
      <c r="W48" s="1701"/>
      <c r="X48" s="1701"/>
      <c r="Y48" s="1701"/>
      <c r="Z48" s="1701"/>
      <c r="AA48" s="1701"/>
      <c r="AB48" s="1701"/>
      <c r="AC48" s="1701"/>
      <c r="AD48" s="1701"/>
      <c r="AE48" s="1701"/>
      <c r="AF48" s="1701"/>
      <c r="AG48" s="1701"/>
      <c r="AH48" s="1702"/>
      <c r="AI48" s="302"/>
      <c r="AJ48" s="302"/>
      <c r="AK48" s="302"/>
      <c r="AL48" s="302"/>
      <c r="AM48" s="302"/>
      <c r="AN48" s="4"/>
    </row>
    <row r="49" spans="1:40" ht="7.5" customHeight="1" thickBot="1">
      <c r="A49" s="2"/>
      <c r="B49" s="5"/>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c r="AN49" s="3"/>
    </row>
    <row r="50" spans="1:40" ht="1.5" hidden="1" customHeight="1">
      <c r="A50" s="7"/>
      <c r="B50" s="6"/>
      <c r="C50" s="6"/>
      <c r="D50" s="6"/>
      <c r="E50" s="6"/>
      <c r="F50" s="6"/>
      <c r="G50" s="6"/>
      <c r="H50" s="6"/>
      <c r="I50" s="6"/>
      <c r="J50" s="6"/>
      <c r="K50" s="6"/>
      <c r="L50" s="6"/>
      <c r="M50" s="6"/>
      <c r="N50" s="6"/>
      <c r="O50" s="6"/>
      <c r="P50" s="6"/>
      <c r="Q50" s="6"/>
      <c r="R50" s="6"/>
      <c r="S50" s="6"/>
      <c r="T50" s="6"/>
      <c r="U50" s="6"/>
      <c r="V50" s="6"/>
      <c r="W50" s="6"/>
      <c r="X50" s="6"/>
      <c r="Y50" s="6"/>
      <c r="Z50" s="6"/>
      <c r="AA50" s="6"/>
      <c r="AB50" s="6"/>
      <c r="AC50" s="6"/>
      <c r="AD50" s="6"/>
      <c r="AE50" s="6"/>
      <c r="AF50" s="6"/>
      <c r="AG50" s="6"/>
      <c r="AH50" s="6"/>
      <c r="AI50" s="6"/>
      <c r="AJ50" s="6"/>
      <c r="AK50" s="6"/>
      <c r="AL50" s="6"/>
      <c r="AM50" s="6"/>
      <c r="AN50" s="1"/>
    </row>
    <row r="51" spans="1:40" ht="15">
      <c r="A51" s="8"/>
      <c r="B51" s="1788" t="str">
        <f>VLOOKUP("elektronische Komponenten",Translations!$A:$T,MATCH(Cover!DR19,Translations!A2:P2,0),0)</f>
        <v>For electronic components:</v>
      </c>
      <c r="C51" s="1788"/>
      <c r="D51" s="1788"/>
      <c r="E51" s="1788"/>
      <c r="F51" s="1788"/>
      <c r="G51" s="1788"/>
      <c r="H51" s="302"/>
      <c r="I51" s="302"/>
      <c r="J51" s="302"/>
      <c r="K51" s="302"/>
      <c r="L51" s="302"/>
      <c r="M51" s="302"/>
      <c r="N51" s="302"/>
      <c r="O51" s="302"/>
      <c r="P51" s="302"/>
      <c r="Q51" s="302"/>
      <c r="R51" s="302"/>
      <c r="S51" s="302"/>
      <c r="T51" s="302"/>
      <c r="U51" s="302"/>
      <c r="V51" s="302"/>
      <c r="W51" s="302"/>
      <c r="X51" s="302"/>
      <c r="Y51" s="302"/>
      <c r="Z51" s="302"/>
      <c r="AA51" s="302"/>
      <c r="AB51" s="302"/>
      <c r="AC51" s="302"/>
      <c r="AD51" s="302"/>
      <c r="AE51" s="302"/>
      <c r="AF51" s="302"/>
      <c r="AG51" s="302"/>
      <c r="AH51" s="302"/>
      <c r="AI51" s="302"/>
      <c r="AJ51" s="302"/>
      <c r="AK51" s="302"/>
      <c r="AL51" s="302"/>
      <c r="AM51" s="302"/>
      <c r="AN51" s="4"/>
    </row>
    <row r="52" spans="1:40" ht="13.5" thickBot="1">
      <c r="A52" s="8"/>
      <c r="H52" s="302"/>
      <c r="I52" s="302"/>
      <c r="J52" s="302"/>
      <c r="K52" s="302"/>
      <c r="L52" s="302"/>
      <c r="M52" s="302"/>
      <c r="N52" s="302"/>
      <c r="O52" s="302"/>
      <c r="P52" s="302"/>
      <c r="Q52" s="302"/>
      <c r="R52" s="302"/>
      <c r="S52" s="302"/>
      <c r="T52" s="302"/>
      <c r="U52" s="302"/>
      <c r="V52" s="302"/>
      <c r="W52" s="302"/>
      <c r="X52" s="302"/>
      <c r="Y52" s="302"/>
      <c r="Z52" s="302"/>
      <c r="AA52" s="302"/>
      <c r="AB52" s="302"/>
      <c r="AC52" s="302"/>
      <c r="AD52" s="302"/>
      <c r="AE52" s="302"/>
      <c r="AF52" s="302"/>
      <c r="AG52" s="302"/>
      <c r="AH52" s="302"/>
      <c r="AI52" s="302"/>
      <c r="AJ52" s="302"/>
      <c r="AK52" s="302"/>
      <c r="AL52" s="302"/>
      <c r="AM52" s="302"/>
      <c r="AN52" s="4"/>
    </row>
    <row r="53" spans="1:40" ht="15" thickBot="1">
      <c r="A53" s="8"/>
      <c r="B53" s="1697" t="str">
        <f>VLOOKUP("Hardware level",Translations!$A:$T,MATCH(Cover!DR19,Translations!A2:P2,0),0)</f>
        <v>Hardware level:</v>
      </c>
      <c r="C53" s="1697"/>
      <c r="D53" s="1697"/>
      <c r="E53" s="1697"/>
      <c r="F53" s="1698"/>
      <c r="G53" s="1789"/>
      <c r="H53" s="1790"/>
      <c r="I53" s="1790"/>
      <c r="J53" s="1790"/>
      <c r="K53" s="1790"/>
      <c r="L53" s="1791"/>
      <c r="M53" s="1703" t="str">
        <f>VLOOKUP("Software level",Translations!$A:$T,MATCH(Cover!DR19,Translations!A2:P2,0),0)</f>
        <v>Software level:</v>
      </c>
      <c r="N53" s="1697"/>
      <c r="O53" s="1697"/>
      <c r="P53" s="1697"/>
      <c r="Q53" s="1697"/>
      <c r="R53" s="1697"/>
      <c r="S53" s="1697"/>
      <c r="T53" s="1697"/>
      <c r="U53" s="1698"/>
      <c r="V53" s="1700"/>
      <c r="W53" s="1701"/>
      <c r="X53" s="1701"/>
      <c r="Y53" s="1701"/>
      <c r="Z53" s="1701"/>
      <c r="AA53" s="1701"/>
      <c r="AB53" s="1701"/>
      <c r="AC53" s="1701"/>
      <c r="AD53" s="1701"/>
      <c r="AE53" s="1701"/>
      <c r="AF53" s="1701"/>
      <c r="AG53" s="1701"/>
      <c r="AH53" s="1702"/>
      <c r="AI53" s="302"/>
      <c r="AJ53" s="302"/>
      <c r="AK53" s="302"/>
      <c r="AL53" s="302"/>
      <c r="AM53" s="302"/>
      <c r="AN53" s="4"/>
    </row>
    <row r="54" spans="1:40" ht="13.5" thickBot="1">
      <c r="A54" s="8"/>
      <c r="B54" s="302"/>
      <c r="C54" s="302"/>
      <c r="D54" s="302"/>
      <c r="E54" s="302"/>
      <c r="F54" s="302"/>
      <c r="G54" s="302"/>
      <c r="H54" s="302"/>
      <c r="I54" s="302"/>
      <c r="J54" s="302"/>
      <c r="K54" s="302"/>
      <c r="L54" s="302"/>
      <c r="M54" s="302"/>
      <c r="N54" s="302"/>
      <c r="O54" s="302"/>
      <c r="P54" s="302"/>
      <c r="Q54" s="302"/>
      <c r="R54" s="302"/>
      <c r="S54" s="302"/>
      <c r="T54" s="302"/>
      <c r="U54" s="302"/>
      <c r="V54" s="302"/>
      <c r="W54" s="302"/>
      <c r="X54" s="302"/>
      <c r="Y54" s="302"/>
      <c r="Z54" s="302"/>
      <c r="AA54" s="302"/>
      <c r="AB54" s="302"/>
      <c r="AC54" s="302"/>
      <c r="AD54" s="302"/>
      <c r="AE54" s="302"/>
      <c r="AF54" s="302"/>
      <c r="AG54" s="302"/>
      <c r="AH54" s="302"/>
      <c r="AI54" s="302"/>
      <c r="AJ54" s="302"/>
      <c r="AK54" s="302"/>
      <c r="AL54" s="302"/>
      <c r="AM54" s="302"/>
      <c r="AN54" s="4"/>
    </row>
    <row r="55" spans="1:40" ht="15" thickBot="1">
      <c r="A55" s="8"/>
      <c r="B55" s="1697" t="str">
        <f>VLOOKUP("Diagnoseerkennung",Translations!$A:$T,MATCH(Cover!DR19,Translations!A2:P2,0),0)</f>
        <v>Diagnosis ident.:</v>
      </c>
      <c r="C55" s="1697"/>
      <c r="D55" s="1697"/>
      <c r="E55" s="1697"/>
      <c r="F55" s="1698"/>
      <c r="G55" s="1700"/>
      <c r="H55" s="1701"/>
      <c r="I55" s="1701"/>
      <c r="J55" s="1701"/>
      <c r="K55" s="1701"/>
      <c r="L55" s="1702"/>
      <c r="M55" s="302"/>
      <c r="N55" s="302"/>
      <c r="O55" s="302"/>
      <c r="P55" s="302"/>
      <c r="Q55" s="302"/>
      <c r="R55" s="302"/>
      <c r="S55" s="302"/>
      <c r="T55" s="302"/>
      <c r="U55" s="302"/>
      <c r="V55" s="302"/>
      <c r="W55" s="302"/>
      <c r="X55" s="302"/>
      <c r="Y55" s="302"/>
      <c r="Z55" s="302"/>
      <c r="AA55" s="302"/>
      <c r="AB55" s="302"/>
      <c r="AC55" s="302"/>
      <c r="AD55" s="302"/>
      <c r="AE55" s="302"/>
      <c r="AF55" s="302"/>
      <c r="AG55" s="302"/>
      <c r="AH55" s="302"/>
      <c r="AI55" s="302"/>
      <c r="AJ55" s="302"/>
      <c r="AK55" s="302"/>
      <c r="AL55" s="302"/>
      <c r="AM55" s="302"/>
      <c r="AN55" s="4"/>
    </row>
    <row r="56" spans="1:40" ht="6.75" customHeight="1" thickBot="1">
      <c r="A56" s="2"/>
      <c r="B56" s="5"/>
      <c r="C56" s="5"/>
      <c r="D56" s="5"/>
      <c r="E56" s="5"/>
      <c r="F56" s="5"/>
      <c r="G56" s="5"/>
      <c r="H56" s="5"/>
      <c r="I56" s="5"/>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c r="AN56" s="3"/>
    </row>
    <row r="57" spans="1:40" ht="3" customHeight="1" thickBot="1">
      <c r="A57"/>
      <c r="B57"/>
      <c r="C57"/>
      <c r="D57"/>
      <c r="E57"/>
      <c r="F57"/>
      <c r="G57"/>
      <c r="H57"/>
      <c r="I57"/>
      <c r="J57"/>
      <c r="K57"/>
      <c r="L57"/>
      <c r="M57"/>
      <c r="N57"/>
      <c r="O57"/>
      <c r="P57"/>
      <c r="Q57"/>
      <c r="R57"/>
      <c r="S57"/>
      <c r="T57"/>
      <c r="U57"/>
      <c r="V57"/>
      <c r="W57"/>
      <c r="X57"/>
      <c r="Y57"/>
      <c r="Z57"/>
      <c r="AA57"/>
      <c r="AB57"/>
      <c r="AC57"/>
      <c r="AD57"/>
      <c r="AE57"/>
      <c r="AF57"/>
      <c r="AG57"/>
      <c r="AH57"/>
      <c r="AI57"/>
      <c r="AJ57"/>
      <c r="AK57"/>
      <c r="AL57"/>
      <c r="AM57"/>
      <c r="AN57"/>
    </row>
    <row r="58" spans="1:40" ht="15.75" thickBot="1">
      <c r="A58" s="14"/>
      <c r="B58" s="15"/>
      <c r="C58" s="15"/>
      <c r="D58" s="15"/>
      <c r="E58" s="15"/>
      <c r="F58" s="15"/>
      <c r="G58" s="1740" t="str">
        <f>VLOOKUP("OK",Translations!$A:$T,MATCH(Cover!DR19,Translations!A2:P2,0),0)</f>
        <v>OK (green)</v>
      </c>
      <c r="H58" s="1741"/>
      <c r="I58" s="1741"/>
      <c r="J58" s="1741"/>
      <c r="K58" s="1741"/>
      <c r="L58" s="1742"/>
      <c r="M58" s="1743" t="str">
        <f>VLOOKUP("Bedingt OK",Translations!$A:$T,MATCH(Cover!DR19,Translations!A2:P2,0),0)</f>
        <v>Conditionally OK (yellow)</v>
      </c>
      <c r="N58" s="1744"/>
      <c r="O58" s="1744"/>
      <c r="P58" s="1744"/>
      <c r="Q58" s="1744"/>
      <c r="R58" s="1744"/>
      <c r="S58" s="1744"/>
      <c r="T58" s="1744"/>
      <c r="U58" s="1744"/>
      <c r="V58" s="1744"/>
      <c r="W58" s="1744"/>
      <c r="X58" s="1744"/>
      <c r="Y58" s="1744"/>
      <c r="Z58" s="1744"/>
      <c r="AA58" s="1744"/>
      <c r="AB58" s="1745"/>
      <c r="AC58" s="1746" t="str">
        <f>VLOOKUP("NOK",Translations!$A:$T,MATCH(Cover!DR19,Translations!A2:P2,0),0)</f>
        <v>NOK (red)</v>
      </c>
      <c r="AD58" s="1747"/>
      <c r="AE58" s="1747"/>
      <c r="AF58" s="1747"/>
      <c r="AG58" s="1747"/>
      <c r="AH58" s="1747"/>
      <c r="AI58" s="1747"/>
      <c r="AJ58" s="1747"/>
      <c r="AK58" s="1747"/>
      <c r="AL58" s="1747"/>
      <c r="AM58" s="1747"/>
      <c r="AN58" s="1748"/>
    </row>
    <row r="59" spans="1:40" ht="12.75" customHeight="1">
      <c r="A59" s="316"/>
      <c r="B59" s="1707" t="str">
        <f>VLOOKUP("Werkzeuge",Translations!$A:$T,MATCH(Cover!DR19,Translations!A2:P2,0),0)</f>
        <v>Tools</v>
      </c>
      <c r="C59" s="1707"/>
      <c r="D59" s="1707"/>
      <c r="E59" s="1707"/>
      <c r="F59" s="1708"/>
      <c r="G59" s="1734" t="str">
        <f>VLOOKUP("grün11",Translations!$A:$T,MATCH(Cover!DR19,Translations!A2:P2,0),0)</f>
        <v>Production tool</v>
      </c>
      <c r="H59" s="1735"/>
      <c r="I59" s="1735"/>
      <c r="J59" s="1735"/>
      <c r="K59" s="1735"/>
      <c r="L59" s="1736"/>
      <c r="M59" s="1714" t="str">
        <f>VLOOKUP("grün11",Translations!$A:$T,MATCH(Cover!DR19,Translations!A2:P2,0),0)</f>
        <v>Production tool</v>
      </c>
      <c r="N59" s="1715"/>
      <c r="O59" s="1715"/>
      <c r="P59" s="1715"/>
      <c r="Q59" s="1715"/>
      <c r="R59" s="1715"/>
      <c r="S59" s="1715"/>
      <c r="T59" s="1715"/>
      <c r="U59" s="1715"/>
      <c r="V59" s="1715"/>
      <c r="W59" s="1715"/>
      <c r="X59" s="1715"/>
      <c r="Y59" s="1715"/>
      <c r="Z59" s="1715"/>
      <c r="AA59" s="1715"/>
      <c r="AB59" s="1716"/>
      <c r="AC59" s="1714" t="str">
        <f>VLOOKUP("rot11",Translations!$A:$T,MATCH(Cover!DR19,Translations!A2:P2,0),0)</f>
        <v>No production tool</v>
      </c>
      <c r="AD59" s="1715"/>
      <c r="AE59" s="1715"/>
      <c r="AF59" s="1715"/>
      <c r="AG59" s="1715"/>
      <c r="AH59" s="1715"/>
      <c r="AI59" s="1715"/>
      <c r="AJ59" s="1715"/>
      <c r="AK59" s="1715"/>
      <c r="AL59" s="1715"/>
      <c r="AM59" s="1715"/>
      <c r="AN59" s="1716"/>
    </row>
    <row r="60" spans="1:40" ht="12.75" customHeight="1">
      <c r="A60" s="317"/>
      <c r="B60"/>
      <c r="C60"/>
      <c r="D60"/>
      <c r="E60"/>
      <c r="F60"/>
      <c r="G60" s="1731" t="str">
        <f>VLOOKUP("accepted",Translations!$A:$T,MATCH(Cover!DR19,Translations!A2:P2,0),0)</f>
        <v>accepted</v>
      </c>
      <c r="H60" s="1732"/>
      <c r="I60" s="1732"/>
      <c r="J60" s="1732"/>
      <c r="K60" s="1732"/>
      <c r="L60" s="1733"/>
      <c r="M60" s="1711" t="str">
        <f>VLOOKUP("gelb11",Translations!$A:$T,MATCH(Cover!DR19,Translations!A2:P2,0),0)</f>
        <v>improved/corrected</v>
      </c>
      <c r="N60" s="1712"/>
      <c r="O60" s="1712"/>
      <c r="P60" s="1712"/>
      <c r="Q60" s="1712"/>
      <c r="R60" s="1712"/>
      <c r="S60" s="1712"/>
      <c r="T60" s="1712"/>
      <c r="U60" s="1712"/>
      <c r="V60" s="1712"/>
      <c r="W60" s="1712"/>
      <c r="X60" s="1712"/>
      <c r="Y60" s="1712"/>
      <c r="Z60" s="1712"/>
      <c r="AA60" s="1712"/>
      <c r="AB60" s="1713"/>
      <c r="AC60" s="336"/>
      <c r="AD60" s="337"/>
      <c r="AE60" s="337"/>
      <c r="AF60" s="337"/>
      <c r="AG60" s="337"/>
      <c r="AH60" s="337"/>
      <c r="AI60" s="337"/>
      <c r="AJ60" s="337"/>
      <c r="AK60" s="337"/>
      <c r="AL60" s="337"/>
      <c r="AM60" s="337"/>
      <c r="AN60" s="338"/>
    </row>
    <row r="61" spans="1:40" ht="3" customHeight="1" thickBot="1">
      <c r="A61" s="317"/>
      <c r="B61" s="318"/>
      <c r="C61" s="318"/>
      <c r="D61" s="318"/>
      <c r="E61" s="318"/>
      <c r="F61" s="319"/>
      <c r="G61" s="444"/>
      <c r="H61" s="445"/>
      <c r="I61" s="445"/>
      <c r="J61" s="445"/>
      <c r="K61" s="445"/>
      <c r="L61" s="446"/>
      <c r="M61" s="336"/>
      <c r="N61" s="337"/>
      <c r="O61" s="337"/>
      <c r="P61" s="337"/>
      <c r="Q61" s="337"/>
      <c r="R61" s="337"/>
      <c r="S61" s="337"/>
      <c r="T61" s="337"/>
      <c r="U61" s="337"/>
      <c r="V61" s="337"/>
      <c r="W61" s="337"/>
      <c r="X61" s="337"/>
      <c r="Y61" s="337"/>
      <c r="Z61" s="337"/>
      <c r="AA61" s="337"/>
      <c r="AB61" s="338"/>
      <c r="AC61" s="336"/>
      <c r="AD61" s="337"/>
      <c r="AE61" s="337"/>
      <c r="AF61" s="337"/>
      <c r="AG61" s="337"/>
      <c r="AH61" s="337"/>
      <c r="AI61" s="337"/>
      <c r="AJ61" s="337"/>
      <c r="AK61" s="337"/>
      <c r="AL61" s="337"/>
      <c r="AM61" s="337"/>
      <c r="AN61" s="338"/>
    </row>
    <row r="62" spans="1:40" ht="16.5" customHeight="1" thickBot="1">
      <c r="A62" s="317"/>
      <c r="B62" s="318"/>
      <c r="C62" s="318"/>
      <c r="D62" s="318"/>
      <c r="E62" s="318"/>
      <c r="F62" s="319"/>
      <c r="G62" s="327"/>
      <c r="H62" s="328"/>
      <c r="I62" s="499"/>
      <c r="J62" s="328"/>
      <c r="K62" s="328"/>
      <c r="L62" s="329"/>
      <c r="M62" s="311"/>
      <c r="N62" s="303"/>
      <c r="O62" s="303"/>
      <c r="P62" s="303"/>
      <c r="Q62" s="303"/>
      <c r="R62" s="303"/>
      <c r="S62" s="303"/>
      <c r="T62" s="303"/>
      <c r="U62" s="303"/>
      <c r="V62" s="499"/>
      <c r="W62" s="303"/>
      <c r="X62" s="303"/>
      <c r="Y62" s="303"/>
      <c r="Z62" s="303"/>
      <c r="AA62" s="303"/>
      <c r="AB62" s="312"/>
      <c r="AC62" s="311"/>
      <c r="AD62" s="303"/>
      <c r="AE62" s="303"/>
      <c r="AF62" s="303"/>
      <c r="AG62" s="303"/>
      <c r="AH62" s="499"/>
      <c r="AI62" s="303"/>
      <c r="AJ62" s="303"/>
      <c r="AK62" s="303"/>
      <c r="AL62" s="303"/>
      <c r="AM62" s="303"/>
      <c r="AN62" s="312"/>
    </row>
    <row r="63" spans="1:40" ht="4.5" customHeight="1" thickBot="1">
      <c r="A63" s="320"/>
      <c r="B63" s="321"/>
      <c r="C63" s="321"/>
      <c r="D63" s="321"/>
      <c r="E63" s="321"/>
      <c r="F63" s="322"/>
      <c r="G63" s="305"/>
      <c r="H63" s="306"/>
      <c r="I63" s="306"/>
      <c r="J63" s="306"/>
      <c r="K63" s="306"/>
      <c r="L63" s="307"/>
      <c r="M63" s="313"/>
      <c r="N63" s="314"/>
      <c r="O63" s="314"/>
      <c r="P63" s="314"/>
      <c r="Q63" s="314"/>
      <c r="R63" s="314"/>
      <c r="S63" s="314"/>
      <c r="T63" s="314"/>
      <c r="U63" s="314"/>
      <c r="V63" s="314"/>
      <c r="W63" s="314"/>
      <c r="X63" s="314"/>
      <c r="Y63" s="314"/>
      <c r="Z63" s="314"/>
      <c r="AA63" s="314"/>
      <c r="AB63" s="315"/>
      <c r="AC63" s="313"/>
      <c r="AD63" s="314"/>
      <c r="AE63" s="314"/>
      <c r="AF63" s="314"/>
      <c r="AG63" s="314"/>
      <c r="AH63" s="314"/>
      <c r="AI63" s="314"/>
      <c r="AJ63" s="314"/>
      <c r="AK63" s="314"/>
      <c r="AL63" s="314"/>
      <c r="AM63" s="314"/>
      <c r="AN63" s="315"/>
    </row>
    <row r="64" spans="1:40" ht="12.75" customHeight="1">
      <c r="A64" s="323"/>
      <c r="B64" s="1704" t="str">
        <f>VLOOKUP("Maß",Translations!$A:$T,MATCH(Cover!DR19,Translations!A2:P2,0),0)</f>
        <v>Dimensions</v>
      </c>
      <c r="C64" s="1704"/>
      <c r="D64" s="1704"/>
      <c r="E64" s="1704"/>
      <c r="F64" s="1705"/>
      <c r="G64" s="1734" t="str">
        <f>VLOOKUP("grün21",Translations!$A:$T,MATCH(Cover!DR19,Translations!A2:P2,0),0)</f>
        <v>Dimensionally OK</v>
      </c>
      <c r="H64" s="1735"/>
      <c r="I64" s="1735"/>
      <c r="J64" s="1735"/>
      <c r="K64" s="1735"/>
      <c r="L64" s="1736"/>
      <c r="M64" s="1714" t="str">
        <f>VLOOKUP("grün21",Translations!$A:$T,MATCH(Cover!DR19,Translations!A2:P2,0),0)</f>
        <v>Dimensionally OK</v>
      </c>
      <c r="N64" s="1715"/>
      <c r="O64" s="1715"/>
      <c r="P64" s="1715"/>
      <c r="Q64" s="1715"/>
      <c r="R64" s="1715"/>
      <c r="S64" s="1715"/>
      <c r="T64" s="1715"/>
      <c r="U64" s="1715"/>
      <c r="V64" s="1715"/>
      <c r="W64" s="1715"/>
      <c r="X64" s="1715"/>
      <c r="Y64" s="1715"/>
      <c r="Z64" s="1715"/>
      <c r="AA64" s="1715"/>
      <c r="AB64" s="1716"/>
      <c r="AC64" s="1754" t="str">
        <f>VLOOKUP("rot21",Translations!$A:$T,MATCH(Cover!DR19,Translations!A2:P2,0),0)</f>
        <v>Dimensionally NOK</v>
      </c>
      <c r="AD64" s="1755"/>
      <c r="AE64" s="1755"/>
      <c r="AF64" s="1755"/>
      <c r="AG64" s="1755"/>
      <c r="AH64" s="1755"/>
      <c r="AI64" s="1755"/>
      <c r="AJ64" s="1755"/>
      <c r="AK64" s="1755"/>
      <c r="AL64" s="1755"/>
      <c r="AM64" s="1755"/>
      <c r="AN64" s="1756"/>
    </row>
    <row r="65" spans="1:40" ht="28.5" customHeight="1" thickBot="1">
      <c r="A65" s="8"/>
      <c r="B65" s="302"/>
      <c r="C65" s="302"/>
      <c r="D65" s="302"/>
      <c r="E65" s="302"/>
      <c r="F65" s="4"/>
      <c r="G65" s="1731" t="str">
        <f>VLOOKUP("no rework",Translations!$A:$T,MATCH(Cover!DR19,Translations!A2:P2,0),0)</f>
        <v>no rework</v>
      </c>
      <c r="H65" s="1732"/>
      <c r="I65" s="1732"/>
      <c r="J65" s="1732"/>
      <c r="K65" s="1732"/>
      <c r="L65" s="1733"/>
      <c r="M65" s="1711" t="str">
        <f>VLOOKUP("gelb21",Translations!$A:$T,MATCH(Cover!DR19,Translations!A2:P2,0),0)</f>
        <v>with rework by supplier or non-critical dimensions NOK (deviation permit is available)</v>
      </c>
      <c r="N65" s="1712"/>
      <c r="O65" s="1712"/>
      <c r="P65" s="1712"/>
      <c r="Q65" s="1712"/>
      <c r="R65" s="1712"/>
      <c r="S65" s="1712"/>
      <c r="T65" s="1712"/>
      <c r="U65" s="1712"/>
      <c r="V65" s="1712"/>
      <c r="W65" s="1712"/>
      <c r="X65" s="1712"/>
      <c r="Y65" s="1712"/>
      <c r="Z65" s="1712"/>
      <c r="AA65" s="1712"/>
      <c r="AB65" s="1713"/>
      <c r="AC65" s="441"/>
      <c r="AD65" s="442"/>
      <c r="AE65" s="442"/>
      <c r="AF65" s="442"/>
      <c r="AG65" s="442"/>
      <c r="AH65" s="442"/>
      <c r="AI65" s="442"/>
      <c r="AJ65" s="442"/>
      <c r="AK65" s="442"/>
      <c r="AL65" s="442"/>
      <c r="AM65" s="442"/>
      <c r="AN65" s="443"/>
    </row>
    <row r="66" spans="1:40" ht="16.5" customHeight="1" thickBot="1">
      <c r="A66" s="8"/>
      <c r="B66" s="302"/>
      <c r="C66" s="302"/>
      <c r="D66" s="302"/>
      <c r="E66" s="302"/>
      <c r="F66" s="4"/>
      <c r="G66" s="327"/>
      <c r="H66" s="328"/>
      <c r="I66" s="499"/>
      <c r="J66" s="328"/>
      <c r="K66" s="328"/>
      <c r="L66" s="329"/>
      <c r="M66" s="342"/>
      <c r="N66" s="343"/>
      <c r="O66" s="343"/>
      <c r="P66" s="343"/>
      <c r="Q66" s="343"/>
      <c r="R66" s="343"/>
      <c r="S66" s="343"/>
      <c r="T66" s="343"/>
      <c r="U66" s="343"/>
      <c r="V66" s="499"/>
      <c r="W66" s="343"/>
      <c r="X66" s="343"/>
      <c r="Y66" s="343"/>
      <c r="Z66" s="343"/>
      <c r="AA66" s="343"/>
      <c r="AB66" s="344"/>
      <c r="AC66" s="342"/>
      <c r="AD66" s="343"/>
      <c r="AE66" s="343"/>
      <c r="AF66" s="343"/>
      <c r="AG66" s="343"/>
      <c r="AH66" s="499"/>
      <c r="AI66" s="343"/>
      <c r="AJ66" s="343"/>
      <c r="AK66" s="343"/>
      <c r="AL66" s="343"/>
      <c r="AM66" s="343"/>
      <c r="AN66" s="344"/>
    </row>
    <row r="67" spans="1:40" ht="4.5" customHeight="1" thickBot="1">
      <c r="A67" s="8"/>
      <c r="B67" s="302"/>
      <c r="C67" s="302"/>
      <c r="D67" s="302"/>
      <c r="E67" s="302"/>
      <c r="F67" s="4"/>
      <c r="G67" s="327"/>
      <c r="H67" s="328"/>
      <c r="I67" s="165"/>
      <c r="J67" s="328"/>
      <c r="K67" s="328"/>
      <c r="L67" s="329"/>
      <c r="M67" s="311"/>
      <c r="N67" s="303"/>
      <c r="O67" s="303"/>
      <c r="P67" s="303"/>
      <c r="Q67" s="303"/>
      <c r="R67" s="303"/>
      <c r="S67" s="303"/>
      <c r="T67" s="303"/>
      <c r="U67" s="303"/>
      <c r="V67" s="165"/>
      <c r="W67" s="303"/>
      <c r="X67" s="303"/>
      <c r="Y67" s="303"/>
      <c r="Z67" s="303"/>
      <c r="AA67" s="303"/>
      <c r="AB67" s="312"/>
      <c r="AC67" s="311"/>
      <c r="AD67" s="303"/>
      <c r="AE67" s="303"/>
      <c r="AF67" s="303"/>
      <c r="AG67" s="303"/>
      <c r="AH67" s="165"/>
      <c r="AI67" s="303"/>
      <c r="AJ67" s="303"/>
      <c r="AK67" s="303"/>
      <c r="AL67" s="303"/>
      <c r="AM67" s="303"/>
      <c r="AN67" s="312"/>
    </row>
    <row r="68" spans="1:40" ht="4.5" hidden="1" customHeight="1" thickBot="1">
      <c r="A68" s="2"/>
      <c r="B68" s="5"/>
      <c r="C68" s="5"/>
      <c r="D68" s="5"/>
      <c r="E68" s="5"/>
      <c r="F68" s="3"/>
      <c r="G68" s="313"/>
      <c r="H68" s="314"/>
      <c r="I68" s="314"/>
      <c r="J68" s="314"/>
      <c r="K68" s="314"/>
      <c r="L68" s="315"/>
      <c r="M68" s="313"/>
      <c r="N68" s="314"/>
      <c r="O68" s="314"/>
      <c r="P68" s="314"/>
      <c r="Q68" s="314"/>
      <c r="R68" s="314"/>
      <c r="S68" s="314"/>
      <c r="T68" s="314"/>
      <c r="U68" s="314"/>
      <c r="V68" s="314"/>
      <c r="W68" s="314"/>
      <c r="X68" s="314"/>
      <c r="Y68" s="314"/>
      <c r="Z68" s="314"/>
      <c r="AA68" s="314"/>
      <c r="AB68" s="315"/>
      <c r="AC68" s="313"/>
      <c r="AD68" s="314"/>
      <c r="AE68" s="314"/>
      <c r="AF68" s="314"/>
      <c r="AG68" s="314"/>
      <c r="AH68" s="314"/>
      <c r="AI68" s="314"/>
      <c r="AJ68" s="314"/>
      <c r="AK68" s="314"/>
      <c r="AL68" s="314"/>
      <c r="AM68" s="314"/>
      <c r="AN68" s="315"/>
    </row>
    <row r="69" spans="1:40" ht="13.5" customHeight="1">
      <c r="A69" s="7"/>
      <c r="B69" s="1704" t="str">
        <f>VLOOKUP("Oberfläche",Translations!$A:$T,MATCH(Cover!DR19,Translations!A2:P2,0),0)</f>
        <v>Surface</v>
      </c>
      <c r="C69" s="1704"/>
      <c r="D69" s="1704"/>
      <c r="E69" s="1704"/>
      <c r="F69" s="1705"/>
      <c r="G69" s="1714" t="str">
        <f>VLOOKUP("grün31",Translations!$A:$T,MATCH(Cover!DR19,Translations!A2:P2,0),0)</f>
        <v>OK</v>
      </c>
      <c r="H69" s="1715"/>
      <c r="I69" s="1715"/>
      <c r="J69" s="1715"/>
      <c r="K69" s="1715"/>
      <c r="L69" s="1716"/>
      <c r="M69" s="1754" t="str">
        <f>VLOOKUP("gelb31",Translations!$A:$T,MATCH(Cover!DR19,Translations!A2:P2,0),0)</f>
        <v>Just acceptable</v>
      </c>
      <c r="N69" s="1755"/>
      <c r="O69" s="1755"/>
      <c r="P69" s="1755"/>
      <c r="Q69" s="1755"/>
      <c r="R69" s="1755"/>
      <c r="S69" s="1755"/>
      <c r="T69" s="1755"/>
      <c r="U69" s="1755"/>
      <c r="V69" s="1755"/>
      <c r="W69" s="1755"/>
      <c r="X69" s="1755"/>
      <c r="Y69" s="1755"/>
      <c r="Z69" s="1755"/>
      <c r="AA69" s="1755"/>
      <c r="AB69" s="1756"/>
      <c r="AC69" s="1714" t="str">
        <f>VLOOKUP("rot31",Translations!$A:$T,MATCH(Cover!DR19,Translations!A2:P2,0),0)</f>
        <v>Significant non-conformance / defect</v>
      </c>
      <c r="AD69" s="1715"/>
      <c r="AE69" s="1715"/>
      <c r="AF69" s="1715"/>
      <c r="AG69" s="1715"/>
      <c r="AH69" s="1715"/>
      <c r="AI69" s="1715"/>
      <c r="AJ69" s="1715"/>
      <c r="AK69" s="1715"/>
      <c r="AL69" s="1715"/>
      <c r="AM69" s="1715"/>
      <c r="AN69" s="1716"/>
    </row>
    <row r="70" spans="1:40" ht="26.25" customHeight="1" thickBot="1">
      <c r="A70" s="8"/>
      <c r="B70" s="1706" t="str">
        <f>VLOOKUP("Struktur",Translations!$A:$T,MATCH(Cover!DR19,Translations!A2:P2,0),0)</f>
        <v>Structure</v>
      </c>
      <c r="C70" s="1706"/>
      <c r="D70" s="1706"/>
      <c r="E70" s="1706"/>
      <c r="F70" s="1753"/>
      <c r="G70" s="1711" t="str">
        <f>VLOOKUP("no sink",Translations!$A:$T,MATCH(Cover!DR19,Translations!A2:P2,0),0)</f>
        <v>no sink marks, no corrugation</v>
      </c>
      <c r="H70" s="1712"/>
      <c r="I70" s="1712"/>
      <c r="J70" s="1712"/>
      <c r="K70" s="1712"/>
      <c r="L70" s="1713"/>
      <c r="M70" s="1771" t="str">
        <f>VLOOKUP("Grenzmuster",Translations!$A:$T,MATCH(Cover!DR19,Translations!A2:P2,0),0)</f>
        <v>complies with boundary sample</v>
      </c>
      <c r="N70" s="1772"/>
      <c r="O70" s="1772"/>
      <c r="P70" s="1772"/>
      <c r="Q70" s="1772"/>
      <c r="R70" s="1772"/>
      <c r="S70" s="1772"/>
      <c r="T70" s="1772"/>
      <c r="U70" s="1772"/>
      <c r="V70" s="1772"/>
      <c r="W70" s="1772"/>
      <c r="X70" s="1772"/>
      <c r="Y70" s="1772"/>
      <c r="Z70" s="1772"/>
      <c r="AA70" s="1772"/>
      <c r="AB70" s="1773"/>
      <c r="AC70" s="1711" t="str">
        <f>VLOOKUP("nicht zu beurteilen",Translations!$A:$T,MATCH(Cover!DR19,Translations!A2:P2,0),0)</f>
        <v>not suitable for assessment</v>
      </c>
      <c r="AD70" s="1712"/>
      <c r="AE70" s="1712"/>
      <c r="AF70" s="1712"/>
      <c r="AG70" s="1712"/>
      <c r="AH70" s="1712"/>
      <c r="AI70" s="1712"/>
      <c r="AJ70" s="1712"/>
      <c r="AK70" s="1712"/>
      <c r="AL70" s="1712"/>
      <c r="AM70" s="1712"/>
      <c r="AN70" s="1713"/>
    </row>
    <row r="71" spans="1:40" ht="16.5" customHeight="1" thickBot="1">
      <c r="A71" s="8"/>
      <c r="B71" s="1706" t="str">
        <f>VLOOKUP("Farbe/ Narbung",Translations!$A:$T,MATCH(Cover!DR19,Translations!A2:P2,0),0)</f>
        <v>Colour/ grain; finish</v>
      </c>
      <c r="C71" s="1706"/>
      <c r="D71" s="1706"/>
      <c r="E71" s="1706"/>
      <c r="F71" s="1753"/>
      <c r="G71" s="311"/>
      <c r="H71" s="303"/>
      <c r="I71" s="499"/>
      <c r="J71" s="303"/>
      <c r="K71" s="303"/>
      <c r="L71" s="312"/>
      <c r="M71" s="311"/>
      <c r="N71" s="303"/>
      <c r="O71" s="303"/>
      <c r="P71" s="303"/>
      <c r="Q71" s="303"/>
      <c r="R71" s="303"/>
      <c r="S71" s="303"/>
      <c r="T71" s="303"/>
      <c r="U71" s="303"/>
      <c r="V71" s="499"/>
      <c r="W71" s="303"/>
      <c r="X71" s="303"/>
      <c r="Y71" s="303"/>
      <c r="Z71" s="303"/>
      <c r="AA71" s="303"/>
      <c r="AB71" s="312"/>
      <c r="AC71" s="311"/>
      <c r="AD71" s="303"/>
      <c r="AE71" s="303"/>
      <c r="AF71" s="303"/>
      <c r="AG71" s="303"/>
      <c r="AH71" s="499"/>
      <c r="AI71" s="303"/>
      <c r="AJ71" s="303"/>
      <c r="AK71" s="303"/>
      <c r="AL71" s="303"/>
      <c r="AM71" s="303"/>
      <c r="AN71" s="312"/>
    </row>
    <row r="72" spans="1:40" ht="4.5" customHeight="1" thickBot="1">
      <c r="A72" s="2"/>
      <c r="B72" s="5"/>
      <c r="C72" s="5"/>
      <c r="D72" s="5"/>
      <c r="E72" s="5"/>
      <c r="F72" s="3"/>
      <c r="G72" s="313"/>
      <c r="H72" s="314"/>
      <c r="I72" s="314"/>
      <c r="J72" s="314"/>
      <c r="K72" s="314"/>
      <c r="L72" s="315"/>
      <c r="M72" s="313"/>
      <c r="N72" s="314"/>
      <c r="O72" s="314"/>
      <c r="P72" s="314"/>
      <c r="Q72" s="314"/>
      <c r="R72" s="314"/>
      <c r="S72" s="314"/>
      <c r="T72" s="314"/>
      <c r="U72" s="314"/>
      <c r="V72" s="314"/>
      <c r="W72" s="314"/>
      <c r="X72" s="314"/>
      <c r="Y72" s="314"/>
      <c r="Z72" s="314"/>
      <c r="AA72" s="314"/>
      <c r="AB72" s="315"/>
      <c r="AC72" s="313"/>
      <c r="AD72" s="314"/>
      <c r="AE72" s="314"/>
      <c r="AF72" s="314"/>
      <c r="AG72" s="314"/>
      <c r="AH72" s="314"/>
      <c r="AI72" s="314"/>
      <c r="AJ72" s="314"/>
      <c r="AK72" s="314"/>
      <c r="AL72" s="314"/>
      <c r="AM72" s="314"/>
      <c r="AN72" s="315"/>
    </row>
    <row r="73" spans="1:40" ht="12.75" customHeight="1">
      <c r="A73" s="7"/>
      <c r="B73" s="1704" t="str">
        <f>VLOOKUP("Werkstoff",Translations!$A:$T,MATCH(Cover!DR19,Translations!A2:P2,0),0)</f>
        <v>Material</v>
      </c>
      <c r="C73" s="1704"/>
      <c r="D73" s="1704"/>
      <c r="E73" s="1704"/>
      <c r="F73" s="1705"/>
      <c r="G73" s="1714" t="str">
        <f>VLOOKUP("grün41",Translations!$A:$T,MATCH(Cover!DR19,Translations!A2:P2,0),0)</f>
        <v>Production material</v>
      </c>
      <c r="H73" s="1715"/>
      <c r="I73" s="1715"/>
      <c r="J73" s="1715"/>
      <c r="K73" s="1715"/>
      <c r="L73" s="1716"/>
      <c r="M73" s="1714" t="str">
        <f>VLOOKUP("gelb41",Translations!$A:$T,MATCH(Cover!DR19,Translations!A2:P2,0),0)</f>
        <v>No production material or different processing or customer's specification not met</v>
      </c>
      <c r="N73" s="1715"/>
      <c r="O73" s="1715"/>
      <c r="P73" s="1715"/>
      <c r="Q73" s="1715"/>
      <c r="R73" s="1715"/>
      <c r="S73" s="1715"/>
      <c r="T73" s="1715"/>
      <c r="U73" s="1715"/>
      <c r="V73" s="1715"/>
      <c r="W73" s="1715"/>
      <c r="X73" s="1715"/>
      <c r="Y73" s="1715"/>
      <c r="Z73" s="1715"/>
      <c r="AA73" s="1715"/>
      <c r="AB73" s="1716"/>
      <c r="AC73" s="1714" t="str">
        <f>VLOOKUP("rot41",Translations!$A:$T,MATCH(Cover!DR19,Translations!A2:P2,0),0)</f>
        <v>No production material</v>
      </c>
      <c r="AD73" s="1715"/>
      <c r="AE73" s="1715"/>
      <c r="AF73" s="1715"/>
      <c r="AG73" s="1715"/>
      <c r="AH73" s="1715"/>
      <c r="AI73" s="1715"/>
      <c r="AJ73" s="1715"/>
      <c r="AK73" s="1715"/>
      <c r="AL73" s="1715"/>
      <c r="AM73" s="1715"/>
      <c r="AN73" s="1716"/>
    </row>
    <row r="74" spans="1:40">
      <c r="A74" s="8"/>
      <c r="B74" s="302"/>
      <c r="C74" s="302"/>
      <c r="D74" s="302"/>
      <c r="E74" s="302"/>
      <c r="F74" s="4"/>
      <c r="G74" s="1711" t="str">
        <f>VLOOKUP("Kundenspezi",Translations!$A:$T,MATCH(Cover!DR19,Translations!A2:P2,0),0)</f>
        <v>Customers specification met</v>
      </c>
      <c r="H74" s="1712"/>
      <c r="I74" s="1712"/>
      <c r="J74" s="1712"/>
      <c r="K74" s="1712"/>
      <c r="L74" s="1713"/>
      <c r="M74" s="1760"/>
      <c r="N74" s="1761"/>
      <c r="O74" s="1761"/>
      <c r="P74" s="1761"/>
      <c r="Q74" s="1761"/>
      <c r="R74" s="1761"/>
      <c r="S74" s="1761"/>
      <c r="T74" s="1761"/>
      <c r="U74" s="1761"/>
      <c r="V74" s="1761"/>
      <c r="W74" s="1761"/>
      <c r="X74" s="1761"/>
      <c r="Y74" s="1761"/>
      <c r="Z74" s="1761"/>
      <c r="AA74" s="1761"/>
      <c r="AB74" s="1762"/>
      <c r="AC74" s="1711" t="str">
        <f>VLOOKUP("Kundenspezi nicht",Translations!$A:$T,MATCH(Cover!DR19,Translations!A2:P2,0),0)</f>
        <v>Customer's specification not met/ demonstrated</v>
      </c>
      <c r="AD74" s="1712"/>
      <c r="AE74" s="1712"/>
      <c r="AF74" s="1712"/>
      <c r="AG74" s="1712"/>
      <c r="AH74" s="1712"/>
      <c r="AI74" s="1712"/>
      <c r="AJ74" s="1712"/>
      <c r="AK74" s="1712"/>
      <c r="AL74" s="1712"/>
      <c r="AM74" s="1712"/>
      <c r="AN74" s="1713"/>
    </row>
    <row r="75" spans="1:40" ht="27" customHeight="1" thickBot="1">
      <c r="A75" s="8"/>
      <c r="B75" s="302"/>
      <c r="C75" s="302"/>
      <c r="D75" s="302"/>
      <c r="E75" s="302"/>
      <c r="F75" s="4"/>
      <c r="G75" s="336"/>
      <c r="H75" s="337"/>
      <c r="I75" s="337"/>
      <c r="J75" s="337"/>
      <c r="K75" s="337"/>
      <c r="L75" s="338"/>
      <c r="M75" s="1711" t="str">
        <f>VLOOKUP("IMDS",Translations!$A:$T,MATCH(Cover!DR19,Translations!A2:P2,0),0)</f>
        <v>Deviation permit available; material data sheet (IMDS) is not available or complete</v>
      </c>
      <c r="N75" s="1712"/>
      <c r="O75" s="1712"/>
      <c r="P75" s="1712"/>
      <c r="Q75" s="1712"/>
      <c r="R75" s="1712"/>
      <c r="S75" s="1712"/>
      <c r="T75" s="1712"/>
      <c r="U75" s="1712"/>
      <c r="V75" s="1712"/>
      <c r="W75" s="1712"/>
      <c r="X75" s="1712"/>
      <c r="Y75" s="1712"/>
      <c r="Z75" s="1712"/>
      <c r="AA75" s="1712"/>
      <c r="AB75" s="1713"/>
      <c r="AC75" s="1711"/>
      <c r="AD75" s="1712"/>
      <c r="AE75" s="1712"/>
      <c r="AF75" s="1712"/>
      <c r="AG75" s="1712"/>
      <c r="AH75" s="1712"/>
      <c r="AI75" s="1712"/>
      <c r="AJ75" s="1712"/>
      <c r="AK75" s="1712"/>
      <c r="AL75" s="1712"/>
      <c r="AM75" s="1712"/>
      <c r="AN75" s="1713"/>
    </row>
    <row r="76" spans="1:40" ht="16.5" customHeight="1" thickBot="1">
      <c r="A76" s="8"/>
      <c r="B76" s="302"/>
      <c r="C76" s="302"/>
      <c r="D76" s="302"/>
      <c r="E76" s="302"/>
      <c r="F76" s="4"/>
      <c r="G76" s="311"/>
      <c r="H76" s="303"/>
      <c r="I76" s="499"/>
      <c r="J76" s="303"/>
      <c r="K76" s="303"/>
      <c r="L76" s="312"/>
      <c r="M76" s="311"/>
      <c r="N76" s="303"/>
      <c r="O76" s="303"/>
      <c r="P76" s="303"/>
      <c r="Q76" s="303"/>
      <c r="R76" s="303"/>
      <c r="S76" s="303"/>
      <c r="T76" s="303"/>
      <c r="U76" s="303"/>
      <c r="V76" s="499"/>
      <c r="W76" s="303"/>
      <c r="X76" s="303"/>
      <c r="Y76" s="303"/>
      <c r="Z76" s="303"/>
      <c r="AA76" s="303"/>
      <c r="AB76" s="312"/>
      <c r="AC76" s="311"/>
      <c r="AD76" s="303"/>
      <c r="AE76" s="303"/>
      <c r="AF76" s="303"/>
      <c r="AG76" s="303"/>
      <c r="AH76" s="499"/>
      <c r="AI76" s="303"/>
      <c r="AJ76" s="303"/>
      <c r="AK76" s="303"/>
      <c r="AL76" s="303"/>
      <c r="AM76" s="303"/>
      <c r="AN76" s="312"/>
    </row>
    <row r="77" spans="1:40" ht="4.5" customHeight="1" thickBot="1">
      <c r="A77" s="2"/>
      <c r="B77" s="5"/>
      <c r="C77" s="5"/>
      <c r="D77" s="5"/>
      <c r="E77" s="5"/>
      <c r="F77" s="3"/>
      <c r="G77" s="313"/>
      <c r="H77" s="314"/>
      <c r="I77" s="314"/>
      <c r="J77" s="314"/>
      <c r="K77" s="314"/>
      <c r="L77" s="315"/>
      <c r="M77" s="313"/>
      <c r="N77" s="314"/>
      <c r="O77" s="314"/>
      <c r="P77" s="314"/>
      <c r="Q77" s="314"/>
      <c r="R77" s="314"/>
      <c r="S77" s="314"/>
      <c r="T77" s="314"/>
      <c r="U77" s="314"/>
      <c r="V77" s="314"/>
      <c r="W77" s="314"/>
      <c r="X77" s="314"/>
      <c r="Y77" s="314"/>
      <c r="Z77" s="314"/>
      <c r="AA77" s="314"/>
      <c r="AB77" s="315"/>
      <c r="AC77" s="313"/>
      <c r="AD77" s="314"/>
      <c r="AE77" s="314"/>
      <c r="AF77" s="314"/>
      <c r="AG77" s="314"/>
      <c r="AH77" s="314"/>
      <c r="AI77" s="314"/>
      <c r="AJ77" s="314"/>
      <c r="AK77" s="314"/>
      <c r="AL77" s="314"/>
      <c r="AM77" s="314"/>
      <c r="AN77" s="315"/>
    </row>
    <row r="78" spans="1:40" ht="12.75" customHeight="1">
      <c r="A78" s="7"/>
      <c r="B78" s="1704" t="str">
        <f>VLOOKUP("Verbaubarkeit",Translations!$A:$T,MATCH(Cover!DR19,Translations!A2:P2,0),0)</f>
        <v>Installability</v>
      </c>
      <c r="C78" s="1704"/>
      <c r="D78" s="1704"/>
      <c r="E78" s="1704"/>
      <c r="F78" s="1705"/>
      <c r="G78" s="1714" t="str">
        <f>VLOOKUP("grün51",Translations!$A:$T,MATCH(Cover!DR19,Translations!A2:P2,0),0)</f>
        <v>Can be installed</v>
      </c>
      <c r="H78" s="1715"/>
      <c r="I78" s="1715"/>
      <c r="J78" s="1715"/>
      <c r="K78" s="1715"/>
      <c r="L78" s="1716"/>
      <c r="M78" s="1714" t="str">
        <f>VLOOKUP("grün51",Translations!$A:$T,MATCH(Cover!DR19,Translations!A2:P2,0),0)</f>
        <v>Can be installed</v>
      </c>
      <c r="N78" s="1715"/>
      <c r="O78" s="1715"/>
      <c r="P78" s="1715"/>
      <c r="Q78" s="1715"/>
      <c r="R78" s="1715"/>
      <c r="S78" s="1715"/>
      <c r="T78" s="1715"/>
      <c r="U78" s="1715"/>
      <c r="V78" s="1715"/>
      <c r="W78" s="1715"/>
      <c r="X78" s="1715"/>
      <c r="Y78" s="1715"/>
      <c r="Z78" s="1715"/>
      <c r="AA78" s="1715"/>
      <c r="AB78" s="1716"/>
      <c r="AC78" s="1714" t="str">
        <f>VLOOKUP("rot51",Translations!$A:$T,MATCH(Cover!DR19,Translations!A2:P2,0),0)</f>
        <v>Cannot be installed</v>
      </c>
      <c r="AD78" s="1715"/>
      <c r="AE78" s="1715"/>
      <c r="AF78" s="1715"/>
      <c r="AG78" s="1715"/>
      <c r="AH78" s="1715"/>
      <c r="AI78" s="1715"/>
      <c r="AJ78" s="1715"/>
      <c r="AK78" s="1715"/>
      <c r="AL78" s="1715"/>
      <c r="AM78" s="1715"/>
      <c r="AN78" s="1716"/>
    </row>
    <row r="79" spans="1:40">
      <c r="A79" s="8"/>
      <c r="B79" s="325"/>
      <c r="C79" s="325"/>
      <c r="D79" s="325"/>
      <c r="E79" s="325"/>
      <c r="F79" s="326"/>
      <c r="G79" s="1717" t="str">
        <f>VLOOKUP("ohne Mehraufwand",Translations!$A:$T,MATCH(Cover!DR19,Translations!A2:P2,0),0)</f>
        <v>without extra work</v>
      </c>
      <c r="H79" s="1718"/>
      <c r="I79" s="1718"/>
      <c r="J79" s="1718"/>
      <c r="K79" s="1718"/>
      <c r="L79" s="1719"/>
      <c r="M79" s="1771" t="str">
        <f>VLOOKUP("gelb51",Translations!$A:$T,MATCH(Cover!DR19,Translations!A2:P2,0),0)</f>
        <v>with extra work</v>
      </c>
      <c r="N79" s="1772"/>
      <c r="O79" s="1772"/>
      <c r="P79" s="1772"/>
      <c r="Q79" s="1772"/>
      <c r="R79" s="1772"/>
      <c r="S79" s="1772"/>
      <c r="T79" s="1772"/>
      <c r="U79" s="1772"/>
      <c r="V79" s="1772"/>
      <c r="W79" s="1772"/>
      <c r="X79" s="1772"/>
      <c r="Y79" s="1772"/>
      <c r="Z79" s="1772"/>
      <c r="AA79" s="1772"/>
      <c r="AB79" s="1773"/>
      <c r="AC79" s="357"/>
      <c r="AD79" s="358"/>
      <c r="AE79" s="358"/>
      <c r="AF79" s="358"/>
      <c r="AG79" s="358"/>
      <c r="AH79" s="358"/>
      <c r="AI79" s="358"/>
      <c r="AJ79" s="358"/>
      <c r="AK79" s="358"/>
      <c r="AL79" s="358"/>
      <c r="AM79" s="358"/>
      <c r="AN79" s="359"/>
    </row>
    <row r="80" spans="1:40" ht="3" customHeight="1" thickBot="1">
      <c r="A80" s="8"/>
      <c r="B80" s="325"/>
      <c r="C80" s="325"/>
      <c r="D80" s="325"/>
      <c r="E80" s="325"/>
      <c r="F80" s="326"/>
      <c r="G80" s="348"/>
      <c r="H80" s="349"/>
      <c r="I80" s="165"/>
      <c r="J80" s="349"/>
      <c r="K80" s="349"/>
      <c r="L80" s="350"/>
      <c r="M80" s="308"/>
      <c r="N80" s="309"/>
      <c r="O80" s="309"/>
      <c r="P80" s="309"/>
      <c r="Q80" s="309"/>
      <c r="R80" s="309"/>
      <c r="S80" s="309"/>
      <c r="T80" s="309"/>
      <c r="U80" s="309"/>
      <c r="V80" s="165"/>
      <c r="W80" s="309"/>
      <c r="X80" s="309"/>
      <c r="Y80" s="309"/>
      <c r="Z80" s="309"/>
      <c r="AA80" s="309"/>
      <c r="AB80" s="310"/>
      <c r="AC80" s="357"/>
      <c r="AD80" s="358"/>
      <c r="AE80" s="358"/>
      <c r="AF80" s="358"/>
      <c r="AG80" s="358"/>
      <c r="AH80" s="165"/>
      <c r="AI80" s="358"/>
      <c r="AJ80" s="358"/>
      <c r="AK80" s="358"/>
      <c r="AL80" s="358"/>
      <c r="AM80" s="358"/>
      <c r="AN80" s="359"/>
    </row>
    <row r="81" spans="1:40" ht="16.5" customHeight="1" thickBot="1">
      <c r="A81" s="8"/>
      <c r="B81" s="302"/>
      <c r="C81" s="302"/>
      <c r="D81" s="302"/>
      <c r="E81" s="302"/>
      <c r="F81" s="4"/>
      <c r="G81" s="351"/>
      <c r="H81" s="352"/>
      <c r="I81" s="499"/>
      <c r="J81" s="352"/>
      <c r="K81" s="352"/>
      <c r="L81" s="353"/>
      <c r="M81" s="311"/>
      <c r="N81" s="303"/>
      <c r="O81" s="303"/>
      <c r="P81" s="303"/>
      <c r="Q81" s="303"/>
      <c r="R81" s="303"/>
      <c r="S81" s="303"/>
      <c r="T81" s="303"/>
      <c r="U81" s="303"/>
      <c r="V81" s="499"/>
      <c r="W81" s="303"/>
      <c r="X81" s="303"/>
      <c r="Y81" s="303"/>
      <c r="Z81" s="303"/>
      <c r="AA81" s="303"/>
      <c r="AB81" s="312"/>
      <c r="AC81" s="311"/>
      <c r="AD81" s="303"/>
      <c r="AE81" s="303"/>
      <c r="AF81" s="303"/>
      <c r="AG81" s="303"/>
      <c r="AH81" s="499"/>
      <c r="AI81" s="303"/>
      <c r="AJ81" s="303"/>
      <c r="AK81" s="303"/>
      <c r="AL81" s="303"/>
      <c r="AM81" s="303"/>
      <c r="AN81" s="312"/>
    </row>
    <row r="82" spans="1:40" ht="3" customHeight="1">
      <c r="A82" s="8"/>
      <c r="B82" s="302"/>
      <c r="C82" s="302"/>
      <c r="D82" s="302"/>
      <c r="E82" s="302"/>
      <c r="F82" s="4"/>
      <c r="G82" s="351"/>
      <c r="H82" s="352"/>
      <c r="I82" s="165"/>
      <c r="J82" s="352"/>
      <c r="K82" s="352"/>
      <c r="L82" s="353"/>
      <c r="M82" s="311"/>
      <c r="N82" s="303"/>
      <c r="O82" s="303"/>
      <c r="P82" s="303"/>
      <c r="Q82" s="303"/>
      <c r="R82" s="303"/>
      <c r="S82" s="303"/>
      <c r="T82" s="303"/>
      <c r="U82" s="303"/>
      <c r="V82" s="165"/>
      <c r="W82" s="303"/>
      <c r="X82" s="303"/>
      <c r="Y82" s="303"/>
      <c r="Z82" s="303"/>
      <c r="AA82" s="303"/>
      <c r="AB82" s="312"/>
      <c r="AC82" s="311"/>
      <c r="AD82" s="303"/>
      <c r="AE82" s="303"/>
      <c r="AF82" s="303"/>
      <c r="AG82" s="303"/>
      <c r="AH82" s="165"/>
      <c r="AI82" s="303"/>
      <c r="AJ82" s="303"/>
      <c r="AK82" s="303"/>
      <c r="AL82" s="303"/>
      <c r="AM82" s="303"/>
      <c r="AN82" s="312"/>
    </row>
    <row r="83" spans="1:40" ht="2.25" customHeight="1" thickBot="1">
      <c r="A83" s="2"/>
      <c r="B83" s="5"/>
      <c r="C83" s="5"/>
      <c r="D83" s="5"/>
      <c r="E83" s="5"/>
      <c r="F83" s="3"/>
      <c r="G83" s="354"/>
      <c r="H83" s="355"/>
      <c r="I83" s="355"/>
      <c r="J83" s="355"/>
      <c r="K83" s="355"/>
      <c r="L83" s="356"/>
      <c r="M83" s="313"/>
      <c r="N83" s="314"/>
      <c r="O83" s="314"/>
      <c r="P83" s="314"/>
      <c r="Q83" s="314"/>
      <c r="R83" s="314"/>
      <c r="S83" s="314"/>
      <c r="T83" s="314"/>
      <c r="U83" s="314"/>
      <c r="V83" s="314"/>
      <c r="W83" s="314"/>
      <c r="X83" s="314"/>
      <c r="Y83" s="314"/>
      <c r="Z83" s="314"/>
      <c r="AA83" s="314"/>
      <c r="AB83" s="315"/>
      <c r="AC83" s="313"/>
      <c r="AD83" s="314"/>
      <c r="AE83" s="314"/>
      <c r="AF83" s="314"/>
      <c r="AG83" s="314"/>
      <c r="AH83" s="314"/>
      <c r="AI83" s="314"/>
      <c r="AJ83" s="314"/>
      <c r="AK83" s="314"/>
      <c r="AL83" s="314"/>
      <c r="AM83" s="314"/>
      <c r="AN83" s="315"/>
    </row>
    <row r="84" spans="1:40" ht="12.75" customHeight="1">
      <c r="A84" s="7"/>
      <c r="B84" s="1784" t="str">
        <f>VLOOKUP("Funktion",Translations!$A:$T,MATCH(Cover!DR19,Translations!A2:P2,0),0)</f>
        <v>Function</v>
      </c>
      <c r="C84" s="1784"/>
      <c r="D84" s="1784"/>
      <c r="E84" s="1784"/>
      <c r="F84" s="1785"/>
      <c r="G84" s="1714" t="str">
        <f>VLOOKUP("grün61",Translations!$A:$T,MATCH(Cover!DR19,Translations!A2:P2,0),0)</f>
        <v>Function satisfied</v>
      </c>
      <c r="H84" s="1715"/>
      <c r="I84" s="1715"/>
      <c r="J84" s="1715"/>
      <c r="K84" s="1715"/>
      <c r="L84" s="1716"/>
      <c r="M84" s="1714" t="str">
        <f>VLOOKUP("gelb61",Translations!$A:$T,MATCH(Cover!DR19,Translations!A2:P2,0),0)</f>
        <v>Minor deviation from specification</v>
      </c>
      <c r="N84" s="1715"/>
      <c r="O84" s="1715"/>
      <c r="P84" s="1715"/>
      <c r="Q84" s="1715"/>
      <c r="R84" s="1715"/>
      <c r="S84" s="1715"/>
      <c r="T84" s="1715"/>
      <c r="U84" s="1715"/>
      <c r="V84" s="1715"/>
      <c r="W84" s="1715"/>
      <c r="X84" s="1715"/>
      <c r="Y84" s="1715"/>
      <c r="Z84" s="1715"/>
      <c r="AA84" s="1715"/>
      <c r="AB84" s="1716"/>
      <c r="AC84" s="1714" t="str">
        <f>VLOOKUP("rot61",Translations!$A:$T,MATCH(Cover!DR19,Translations!A2:P2,0),0)</f>
        <v>Function NOK or not demonstrated</v>
      </c>
      <c r="AD84" s="1715"/>
      <c r="AE84" s="1715"/>
      <c r="AF84" s="1715"/>
      <c r="AG84" s="1715"/>
      <c r="AH84" s="1715"/>
      <c r="AI84" s="1715"/>
      <c r="AJ84" s="1715"/>
      <c r="AK84" s="1715"/>
      <c r="AL84" s="1715"/>
      <c r="AM84" s="1715"/>
      <c r="AN84" s="1716"/>
    </row>
    <row r="85" spans="1:40" ht="12.75" customHeight="1">
      <c r="A85" s="8"/>
      <c r="B85" s="447"/>
      <c r="C85" s="447"/>
      <c r="D85" s="447"/>
      <c r="E85" s="447"/>
      <c r="F85" s="448"/>
      <c r="G85" s="1711" t="str">
        <f>VLOOKUP("entspricht SPezi",Translations!$A:$T,MATCH(Cover!DR19,Translations!A2:P2,0),0)</f>
        <v>complies with specification</v>
      </c>
      <c r="H85" s="1712"/>
      <c r="I85" s="1712"/>
      <c r="J85" s="1712"/>
      <c r="K85" s="1712"/>
      <c r="L85" s="1713"/>
      <c r="M85" s="449"/>
      <c r="N85" s="450"/>
      <c r="O85" s="450"/>
      <c r="P85" s="450"/>
      <c r="Q85" s="450"/>
      <c r="R85" s="450"/>
      <c r="S85" s="450"/>
      <c r="T85" s="450"/>
      <c r="U85" s="450"/>
      <c r="V85" s="450"/>
      <c r="W85" s="450"/>
      <c r="X85" s="450"/>
      <c r="Y85" s="450"/>
      <c r="Z85" s="450"/>
      <c r="AA85" s="450"/>
      <c r="AB85" s="451"/>
      <c r="AC85" s="1760"/>
      <c r="AD85" s="1761"/>
      <c r="AE85" s="1761"/>
      <c r="AF85" s="1761"/>
      <c r="AG85" s="1761"/>
      <c r="AH85" s="1761"/>
      <c r="AI85" s="1761"/>
      <c r="AJ85" s="1761"/>
      <c r="AK85" s="1761"/>
      <c r="AL85" s="1761"/>
      <c r="AM85" s="1761"/>
      <c r="AN85" s="1762"/>
    </row>
    <row r="86" spans="1:40" ht="12.75" customHeight="1">
      <c r="A86" s="8"/>
      <c r="B86" s="302"/>
      <c r="C86" s="302"/>
      <c r="D86" s="302"/>
      <c r="E86" s="302"/>
      <c r="F86" s="4"/>
      <c r="G86" s="1711"/>
      <c r="H86" s="1712"/>
      <c r="I86" s="1712"/>
      <c r="J86" s="1712"/>
      <c r="K86" s="1712"/>
      <c r="L86" s="1713"/>
      <c r="M86" s="311"/>
      <c r="N86" s="303"/>
      <c r="O86" s="303"/>
      <c r="P86" s="303"/>
      <c r="Q86" s="303"/>
      <c r="R86" s="303"/>
      <c r="S86" s="303"/>
      <c r="T86" s="303"/>
      <c r="U86" s="303"/>
      <c r="V86" s="303"/>
      <c r="W86" s="303"/>
      <c r="X86" s="303"/>
      <c r="Y86" s="303"/>
      <c r="Z86" s="303"/>
      <c r="AA86" s="303"/>
      <c r="AB86" s="312"/>
      <c r="AC86" s="1711" t="str">
        <f>VLOOKUP("Spezi nicht",Translations!$A:$T,MATCH(Cover!DR19,Translations!A2:P2,0),0)</f>
        <v>specification not met</v>
      </c>
      <c r="AD86" s="1712"/>
      <c r="AE86" s="1712"/>
      <c r="AF86" s="1712"/>
      <c r="AG86" s="1712"/>
      <c r="AH86" s="1712"/>
      <c r="AI86" s="1712"/>
      <c r="AJ86" s="1712"/>
      <c r="AK86" s="1712"/>
      <c r="AL86" s="1712"/>
      <c r="AM86" s="1712"/>
      <c r="AN86" s="1713"/>
    </row>
    <row r="87" spans="1:40" ht="3" customHeight="1" thickBot="1">
      <c r="A87" s="8"/>
      <c r="B87" s="302"/>
      <c r="C87" s="302"/>
      <c r="D87" s="302"/>
      <c r="E87" s="302"/>
      <c r="F87" s="4"/>
      <c r="G87" s="311"/>
      <c r="H87" s="303"/>
      <c r="I87" s="303"/>
      <c r="J87" s="303"/>
      <c r="K87" s="303"/>
      <c r="L87" s="312"/>
      <c r="M87" s="311"/>
      <c r="N87" s="303"/>
      <c r="O87" s="303"/>
      <c r="P87" s="303"/>
      <c r="Q87" s="303"/>
      <c r="R87" s="303"/>
      <c r="S87" s="303"/>
      <c r="T87" s="303"/>
      <c r="U87" s="303"/>
      <c r="V87" s="303"/>
      <c r="W87" s="303"/>
      <c r="X87" s="303"/>
      <c r="Y87" s="303"/>
      <c r="Z87" s="303"/>
      <c r="AA87" s="303"/>
      <c r="AB87" s="312"/>
      <c r="AC87" s="311"/>
      <c r="AD87" s="303"/>
      <c r="AE87" s="303"/>
      <c r="AF87" s="303"/>
      <c r="AG87" s="303"/>
      <c r="AH87" s="303"/>
      <c r="AI87" s="303"/>
      <c r="AJ87" s="303"/>
      <c r="AK87" s="303"/>
      <c r="AL87" s="303"/>
      <c r="AM87" s="303"/>
      <c r="AN87" s="312"/>
    </row>
    <row r="88" spans="1:40" ht="16.5" customHeight="1" thickBot="1">
      <c r="A88" s="8"/>
      <c r="B88" s="302"/>
      <c r="C88" s="302"/>
      <c r="D88" s="302"/>
      <c r="E88" s="302"/>
      <c r="F88" s="4"/>
      <c r="G88" s="311"/>
      <c r="H88" s="303"/>
      <c r="I88" s="499"/>
      <c r="J88" s="303"/>
      <c r="K88" s="303"/>
      <c r="L88" s="312"/>
      <c r="M88" s="311"/>
      <c r="N88" s="303"/>
      <c r="O88" s="303"/>
      <c r="P88" s="303"/>
      <c r="Q88" s="303"/>
      <c r="R88" s="303"/>
      <c r="S88" s="303"/>
      <c r="T88" s="303"/>
      <c r="U88" s="303"/>
      <c r="V88" s="499"/>
      <c r="W88" s="303"/>
      <c r="X88" s="303"/>
      <c r="Y88" s="303"/>
      <c r="Z88" s="303"/>
      <c r="AA88" s="303"/>
      <c r="AB88" s="312"/>
      <c r="AC88" s="311"/>
      <c r="AD88" s="303"/>
      <c r="AE88" s="303"/>
      <c r="AF88" s="303"/>
      <c r="AG88" s="303"/>
      <c r="AH88" s="499"/>
      <c r="AI88" s="303"/>
      <c r="AJ88" s="303"/>
      <c r="AK88" s="303"/>
      <c r="AL88" s="303"/>
      <c r="AM88" s="303"/>
      <c r="AN88" s="312"/>
    </row>
    <row r="89" spans="1:40" ht="4.5" customHeight="1" thickBot="1">
      <c r="A89" s="2"/>
      <c r="B89" s="5"/>
      <c r="C89" s="5"/>
      <c r="D89" s="5"/>
      <c r="E89" s="5"/>
      <c r="F89" s="3"/>
      <c r="G89" s="313"/>
      <c r="H89" s="314"/>
      <c r="I89" s="314"/>
      <c r="J89" s="314"/>
      <c r="K89" s="314"/>
      <c r="L89" s="315"/>
      <c r="M89" s="313"/>
      <c r="N89" s="314"/>
      <c r="O89" s="314"/>
      <c r="P89" s="314"/>
      <c r="Q89" s="314"/>
      <c r="R89" s="314"/>
      <c r="S89" s="314"/>
      <c r="T89" s="314"/>
      <c r="U89" s="314"/>
      <c r="V89" s="314"/>
      <c r="W89" s="314"/>
      <c r="X89" s="314"/>
      <c r="Y89" s="314"/>
      <c r="Z89" s="314"/>
      <c r="AA89" s="314"/>
      <c r="AB89" s="315"/>
      <c r="AC89" s="313"/>
      <c r="AD89" s="314"/>
      <c r="AE89" s="314"/>
      <c r="AF89" s="314"/>
      <c r="AG89" s="314"/>
      <c r="AH89" s="314"/>
      <c r="AI89" s="314"/>
      <c r="AJ89" s="314"/>
      <c r="AK89" s="314"/>
      <c r="AL89" s="314"/>
      <c r="AM89" s="314"/>
      <c r="AN89" s="315"/>
    </row>
    <row r="90" spans="1:40">
      <c r="A90" s="7"/>
      <c r="B90" s="1786" t="str">
        <f>VLOOKUP("Zulieferteile",Translations!$A:$T,MATCH(Cover!DR19,Translations!A2:P2,0),0)</f>
        <v>Purchased parts</v>
      </c>
      <c r="C90" s="1786"/>
      <c r="D90" s="1786"/>
      <c r="E90" s="1786"/>
      <c r="F90" s="1787"/>
      <c r="G90" s="1781" t="str">
        <f>VLOOKUP("grün71",Translations!$A:$T,MATCH(Cover!DR19,Translations!A2:P2,0),0)</f>
        <v>Released</v>
      </c>
      <c r="H90" s="1782"/>
      <c r="I90" s="1782"/>
      <c r="J90" s="1782"/>
      <c r="K90" s="1782"/>
      <c r="L90" s="1783"/>
      <c r="M90" s="1781" t="str">
        <f>VLOOKUP("gelb71",Translations!$A:$T,MATCH(Cover!DR19,Translations!A2:P2,0),0)</f>
        <v>Conditionally released</v>
      </c>
      <c r="N90" s="1782"/>
      <c r="O90" s="1782"/>
      <c r="P90" s="1782"/>
      <c r="Q90" s="1782"/>
      <c r="R90" s="1782"/>
      <c r="S90" s="1782"/>
      <c r="T90" s="1782"/>
      <c r="U90" s="1782"/>
      <c r="V90" s="1782"/>
      <c r="W90" s="1782"/>
      <c r="X90" s="1782"/>
      <c r="Y90" s="1782"/>
      <c r="Z90" s="1782"/>
      <c r="AA90" s="1782"/>
      <c r="AB90" s="1783"/>
      <c r="AC90" s="1781" t="str">
        <f>VLOOKUP("rot71",Translations!$A:$T,MATCH(Cover!DR19,Translations!A2:P2,0),0)</f>
        <v>Rejected or not yet submitted as samples</v>
      </c>
      <c r="AD90" s="1782"/>
      <c r="AE90" s="1782"/>
      <c r="AF90" s="1782"/>
      <c r="AG90" s="1782"/>
      <c r="AH90" s="1782"/>
      <c r="AI90" s="1782"/>
      <c r="AJ90" s="1782"/>
      <c r="AK90" s="1782"/>
      <c r="AL90" s="1782"/>
      <c r="AM90" s="1782"/>
      <c r="AN90" s="1783"/>
    </row>
    <row r="91" spans="1:40" ht="4.5" customHeight="1" thickBot="1">
      <c r="A91" s="8"/>
      <c r="B91" s="302"/>
      <c r="C91" s="302"/>
      <c r="D91" s="302"/>
      <c r="E91" s="302"/>
      <c r="F91" s="4"/>
      <c r="G91" s="311"/>
      <c r="H91" s="303"/>
      <c r="I91" s="303"/>
      <c r="J91" s="303"/>
      <c r="K91" s="303"/>
      <c r="L91" s="312"/>
      <c r="M91" s="311"/>
      <c r="N91" s="303"/>
      <c r="O91" s="303"/>
      <c r="P91" s="303"/>
      <c r="Q91" s="303"/>
      <c r="R91" s="303"/>
      <c r="S91" s="303"/>
      <c r="T91" s="303"/>
      <c r="U91" s="303"/>
      <c r="V91" s="303"/>
      <c r="W91" s="303"/>
      <c r="X91" s="303"/>
      <c r="Y91" s="303"/>
      <c r="Z91" s="303"/>
      <c r="AA91" s="303"/>
      <c r="AB91" s="312"/>
      <c r="AC91" s="311"/>
      <c r="AD91" s="303"/>
      <c r="AE91" s="303"/>
      <c r="AF91" s="303"/>
      <c r="AG91" s="303"/>
      <c r="AH91" s="303"/>
      <c r="AI91" s="303"/>
      <c r="AJ91" s="303"/>
      <c r="AK91" s="303"/>
      <c r="AL91" s="303"/>
      <c r="AM91" s="303"/>
      <c r="AN91" s="312"/>
    </row>
    <row r="92" spans="1:40" ht="16.5" customHeight="1" thickBot="1">
      <c r="A92" s="8"/>
      <c r="B92" s="302"/>
      <c r="C92" s="302"/>
      <c r="D92" s="302"/>
      <c r="E92" s="302"/>
      <c r="F92" s="4"/>
      <c r="G92" s="311"/>
      <c r="H92" s="303"/>
      <c r="I92" s="499"/>
      <c r="J92" s="303"/>
      <c r="K92" s="303"/>
      <c r="L92" s="312"/>
      <c r="M92" s="311"/>
      <c r="N92" s="303"/>
      <c r="O92" s="303"/>
      <c r="P92" s="303"/>
      <c r="Q92" s="303"/>
      <c r="R92" s="303"/>
      <c r="S92" s="303"/>
      <c r="T92" s="303"/>
      <c r="U92" s="303"/>
      <c r="V92" s="499"/>
      <c r="W92" s="303"/>
      <c r="X92" s="303"/>
      <c r="Y92" s="303"/>
      <c r="Z92" s="303"/>
      <c r="AA92" s="303"/>
      <c r="AB92" s="312"/>
      <c r="AC92" s="311"/>
      <c r="AD92" s="303"/>
      <c r="AE92" s="303"/>
      <c r="AF92" s="303"/>
      <c r="AG92" s="303"/>
      <c r="AH92" s="499"/>
      <c r="AI92" s="303"/>
      <c r="AJ92" s="303"/>
      <c r="AK92" s="303"/>
      <c r="AL92" s="303"/>
      <c r="AM92" s="303"/>
      <c r="AN92" s="312"/>
    </row>
    <row r="93" spans="1:40" ht="4.5" customHeight="1" thickBot="1">
      <c r="A93" s="2"/>
      <c r="B93" s="5"/>
      <c r="C93" s="5"/>
      <c r="D93" s="5"/>
      <c r="E93" s="5"/>
      <c r="F93" s="3"/>
      <c r="G93" s="313"/>
      <c r="H93" s="314"/>
      <c r="I93" s="314"/>
      <c r="J93" s="314"/>
      <c r="K93" s="314"/>
      <c r="L93" s="315"/>
      <c r="M93" s="313"/>
      <c r="N93" s="314"/>
      <c r="O93" s="314"/>
      <c r="P93" s="314"/>
      <c r="Q93" s="314"/>
      <c r="R93" s="314"/>
      <c r="S93" s="314"/>
      <c r="T93" s="314"/>
      <c r="U93" s="314"/>
      <c r="V93" s="314"/>
      <c r="W93" s="314"/>
      <c r="X93" s="314"/>
      <c r="Y93" s="314"/>
      <c r="Z93" s="314"/>
      <c r="AA93" s="314"/>
      <c r="AB93" s="315"/>
      <c r="AC93" s="313"/>
      <c r="AD93" s="314"/>
      <c r="AE93" s="314"/>
      <c r="AF93" s="314"/>
      <c r="AG93" s="314"/>
      <c r="AH93" s="314"/>
      <c r="AI93" s="314"/>
      <c r="AJ93" s="314"/>
      <c r="AK93" s="314"/>
      <c r="AL93" s="314"/>
      <c r="AM93" s="314"/>
      <c r="AN93" s="315"/>
    </row>
    <row r="94" spans="1:40">
      <c r="A94" s="7"/>
      <c r="B94" s="6"/>
      <c r="C94" s="6"/>
      <c r="D94" s="6"/>
      <c r="E94" s="6"/>
      <c r="F94" s="6"/>
      <c r="G94" s="6"/>
      <c r="H94" s="6"/>
      <c r="I94" s="6"/>
      <c r="J94" s="6"/>
      <c r="K94" s="6"/>
      <c r="L94" s="6"/>
      <c r="M94" s="6"/>
      <c r="N94" s="6"/>
      <c r="O94" s="6"/>
      <c r="P94" s="6"/>
      <c r="Q94" s="6"/>
      <c r="R94" s="6"/>
      <c r="S94" s="6"/>
      <c r="T94" s="6"/>
      <c r="U94" s="6"/>
      <c r="V94" s="6"/>
      <c r="W94" s="6"/>
      <c r="X94" s="6"/>
      <c r="Y94" s="6"/>
      <c r="Z94" s="6"/>
      <c r="AA94" s="6"/>
      <c r="AB94" s="6"/>
      <c r="AC94" s="6"/>
      <c r="AD94" s="6"/>
      <c r="AE94" s="6"/>
      <c r="AF94" s="6"/>
      <c r="AG94" s="6"/>
      <c r="AH94" s="6"/>
      <c r="AI94" s="6"/>
      <c r="AJ94" s="6"/>
      <c r="AK94" s="6"/>
      <c r="AL94" s="6"/>
      <c r="AM94" s="6"/>
      <c r="AN94" s="1"/>
    </row>
    <row r="95" spans="1:40">
      <c r="A95" s="8"/>
      <c r="B95" s="302"/>
      <c r="C95" s="302"/>
      <c r="D95" s="302"/>
      <c r="E95" s="302"/>
      <c r="F95" s="302"/>
      <c r="G95" s="302"/>
      <c r="H95" s="302"/>
      <c r="I95" s="413"/>
      <c r="J95" s="413"/>
      <c r="K95" s="413"/>
      <c r="L95" s="413"/>
      <c r="M95" s="430"/>
      <c r="N95" s="31"/>
      <c r="O95" s="31"/>
      <c r="P95" s="31"/>
      <c r="Q95" s="31"/>
      <c r="R95" s="31"/>
      <c r="S95" s="31"/>
      <c r="T95" s="303"/>
      <c r="U95" s="303"/>
      <c r="V95" s="303"/>
      <c r="W95" s="302"/>
      <c r="X95" s="302"/>
      <c r="Y95" s="302"/>
      <c r="Z95" s="302"/>
      <c r="AA95" s="302"/>
      <c r="AB95" s="302"/>
      <c r="AC95" s="302"/>
      <c r="AD95" s="302"/>
      <c r="AE95" s="302"/>
      <c r="AF95" s="302"/>
      <c r="AG95" s="302"/>
      <c r="AH95" s="302"/>
      <c r="AI95" s="302"/>
      <c r="AJ95" s="302"/>
      <c r="AK95" s="302"/>
      <c r="AL95" s="302"/>
      <c r="AM95" s="302"/>
      <c r="AN95" s="4"/>
    </row>
    <row r="96" spans="1:40" ht="18" customHeight="1">
      <c r="A96" s="8"/>
      <c r="B96" s="302"/>
      <c r="C96" s="302"/>
      <c r="D96" s="302"/>
      <c r="E96" s="302"/>
      <c r="F96" s="302"/>
      <c r="G96" s="1774" t="str">
        <f>VLOOKUP("Gesamtergebnis",Translations!$A:$T,MATCH(Cover!DR19,Translations!A2:P2,0),0)</f>
        <v>Overall result:</v>
      </c>
      <c r="H96" s="1774"/>
      <c r="I96" s="1774"/>
      <c r="J96" s="1774"/>
      <c r="K96" s="1774"/>
      <c r="L96" s="1774"/>
      <c r="M96" s="303"/>
      <c r="N96" s="1765"/>
      <c r="O96" s="1766"/>
      <c r="P96" s="1766"/>
      <c r="Q96" s="1766"/>
      <c r="R96" s="1766"/>
      <c r="S96" s="1766"/>
      <c r="T96" s="1766"/>
      <c r="U96" s="1767"/>
      <c r="V96" s="583"/>
      <c r="W96" s="1780" t="str">
        <f>VLOOKUP("ok/conditionally ok/nok",Translations!$A:$T,MATCH(Cover!DR19,Translations!A2:P2,0),0)</f>
        <v>(OK / Conditionally OK / NOK)</v>
      </c>
      <c r="X96" s="1780"/>
      <c r="Y96" s="1780"/>
      <c r="Z96" s="1780"/>
      <c r="AA96" s="1780"/>
      <c r="AB96" s="1780"/>
      <c r="AC96" s="1780"/>
      <c r="AD96" s="1780"/>
      <c r="AE96" s="1780"/>
      <c r="AF96" s="1780"/>
      <c r="AG96" s="1780"/>
      <c r="AH96" s="1780"/>
      <c r="AI96" s="302"/>
      <c r="AJ96" s="302"/>
      <c r="AK96" s="302"/>
      <c r="AL96" s="302"/>
      <c r="AM96" s="302"/>
      <c r="AN96" s="4"/>
    </row>
    <row r="97" spans="1:40">
      <c r="A97" s="8"/>
      <c r="B97" s="302"/>
      <c r="C97" s="302"/>
      <c r="D97" s="302"/>
      <c r="E97" s="302"/>
      <c r="F97" s="302"/>
      <c r="G97" s="302"/>
      <c r="H97" s="302"/>
      <c r="I97" s="302"/>
      <c r="J97" s="302"/>
      <c r="K97" s="302"/>
      <c r="L97" s="302"/>
      <c r="M97" s="303"/>
      <c r="N97" s="303"/>
      <c r="O97" s="303"/>
      <c r="P97" s="303"/>
      <c r="Q97" s="303"/>
      <c r="R97" s="303"/>
      <c r="S97" s="303"/>
      <c r="T97" s="303"/>
      <c r="U97" s="303"/>
      <c r="V97" s="303"/>
      <c r="W97" s="302"/>
      <c r="X97" s="302"/>
      <c r="Y97" s="302"/>
      <c r="Z97" s="302"/>
      <c r="AA97" s="302"/>
      <c r="AB97" s="302"/>
      <c r="AC97" s="302"/>
      <c r="AD97" s="302"/>
      <c r="AE97" s="302"/>
      <c r="AF97" s="302"/>
      <c r="AG97" s="302"/>
      <c r="AH97" s="302"/>
      <c r="AI97" s="302"/>
      <c r="AJ97" s="302"/>
      <c r="AK97" s="302"/>
      <c r="AL97" s="302"/>
      <c r="AM97" s="302"/>
      <c r="AN97" s="4"/>
    </row>
    <row r="98" spans="1:40">
      <c r="A98" s="8"/>
      <c r="B98" s="302"/>
      <c r="C98" s="302"/>
      <c r="D98" s="302"/>
      <c r="E98" s="302"/>
      <c r="F98" s="302"/>
      <c r="G98" s="302"/>
      <c r="H98" s="302"/>
      <c r="I98" s="302"/>
      <c r="J98" s="302"/>
      <c r="K98" s="302"/>
      <c r="L98" s="302"/>
      <c r="M98" s="302"/>
      <c r="N98" s="302"/>
      <c r="O98" s="302"/>
      <c r="P98" s="302"/>
      <c r="Q98" s="302"/>
      <c r="R98" s="302"/>
      <c r="S98" s="302"/>
      <c r="T98" s="302"/>
      <c r="U98" s="302"/>
      <c r="V98" s="302"/>
      <c r="W98" s="302"/>
      <c r="X98" s="302"/>
      <c r="Y98" s="302"/>
      <c r="Z98" s="302"/>
      <c r="AA98" s="302"/>
      <c r="AB98" s="302"/>
      <c r="AC98" s="302"/>
      <c r="AD98" s="302"/>
      <c r="AE98" s="302"/>
      <c r="AF98" s="302"/>
      <c r="AG98" s="302"/>
      <c r="AH98" s="302"/>
      <c r="AI98" s="302"/>
      <c r="AJ98" s="302"/>
      <c r="AK98" s="302"/>
      <c r="AL98" s="302"/>
      <c r="AM98" s="302"/>
      <c r="AN98" s="4"/>
    </row>
    <row r="99" spans="1:40" ht="30.75" customHeight="1">
      <c r="A99" s="512"/>
      <c r="B99" s="1779"/>
      <c r="C99" s="1779"/>
      <c r="D99" s="1777"/>
      <c r="E99" s="1777"/>
      <c r="F99" s="1777"/>
      <c r="G99" s="302"/>
      <c r="H99" s="302"/>
      <c r="I99" s="1777"/>
      <c r="J99" s="1777"/>
      <c r="K99" s="1777"/>
      <c r="L99" s="1777"/>
      <c r="M99" s="1777"/>
      <c r="N99" s="1777"/>
      <c r="O99" s="1777"/>
      <c r="P99" s="1777"/>
      <c r="Q99" s="1777"/>
      <c r="R99" s="1777"/>
      <c r="S99" s="1777"/>
      <c r="T99" s="1777"/>
      <c r="U99" s="1777"/>
      <c r="V99" s="1777"/>
      <c r="W99" s="1777"/>
      <c r="X99" s="302"/>
      <c r="Y99" s="302"/>
      <c r="Z99" s="302"/>
      <c r="AA99" s="302"/>
      <c r="AB99" s="302"/>
      <c r="AC99" s="302"/>
      <c r="AD99" s="302"/>
      <c r="AE99" s="302"/>
      <c r="AF99" s="302"/>
      <c r="AG99" s="302"/>
      <c r="AH99" s="302"/>
      <c r="AI99" s="302"/>
      <c r="AJ99" s="302"/>
      <c r="AK99" s="302"/>
      <c r="AL99" s="302"/>
      <c r="AM99" s="302"/>
      <c r="AN99" s="4"/>
    </row>
    <row r="100" spans="1:40">
      <c r="A100" s="512"/>
      <c r="B100" s="1779"/>
      <c r="C100" s="1779"/>
      <c r="D100" s="1778"/>
      <c r="E100" s="1778"/>
      <c r="F100" s="1778"/>
      <c r="G100" s="302"/>
      <c r="H100" s="302"/>
      <c r="I100" s="1778"/>
      <c r="J100" s="1778"/>
      <c r="K100" s="1778"/>
      <c r="L100" s="1778"/>
      <c r="M100" s="1778"/>
      <c r="N100" s="1778"/>
      <c r="O100" s="1778"/>
      <c r="P100" s="1778"/>
      <c r="Q100" s="1778"/>
      <c r="R100" s="1778"/>
      <c r="S100" s="1778"/>
      <c r="T100" s="1778"/>
      <c r="U100" s="1778"/>
      <c r="V100" s="1778"/>
      <c r="W100" s="1778"/>
      <c r="X100" s="302"/>
      <c r="Y100" s="302"/>
      <c r="Z100" s="302"/>
      <c r="AA100" s="302"/>
      <c r="AB100" s="302"/>
      <c r="AC100" s="302"/>
      <c r="AD100" s="302"/>
      <c r="AE100" s="302"/>
      <c r="AF100" s="302"/>
      <c r="AG100" s="302"/>
      <c r="AH100" s="302"/>
      <c r="AI100" s="302"/>
      <c r="AJ100" s="302"/>
      <c r="AK100" s="302"/>
      <c r="AL100" s="302"/>
      <c r="AM100" s="302"/>
      <c r="AN100" s="4"/>
    </row>
    <row r="101" spans="1:40">
      <c r="A101" s="8"/>
      <c r="B101" s="582"/>
      <c r="C101" s="582"/>
      <c r="D101" s="1776" t="str">
        <f>VLOOKUP("Datum1",Translations!$A:$T,MATCH(Cover!DR19,Translations!A2:P2,0),0)</f>
        <v>Date</v>
      </c>
      <c r="E101" s="1776"/>
      <c r="F101" s="1776"/>
      <c r="G101" s="302"/>
      <c r="H101" s="302"/>
      <c r="I101" s="1775" t="str">
        <f>VLOOKUP("Unterschrift Lieferant",Translations!$A:$T,MATCH(Cover!DR19,Translations!A2:P2,0),0)</f>
        <v>Signature supplier</v>
      </c>
      <c r="J101" s="1775"/>
      <c r="K101" s="1775"/>
      <c r="L101" s="1775"/>
      <c r="M101" s="1775"/>
      <c r="N101" s="1775"/>
      <c r="O101" s="1775"/>
      <c r="P101" s="1775"/>
      <c r="Q101" s="1775"/>
      <c r="R101" s="1775"/>
      <c r="S101" s="1775"/>
      <c r="T101" s="1775"/>
      <c r="U101" s="1775"/>
      <c r="V101" s="1775"/>
      <c r="W101" s="1775"/>
      <c r="X101" s="302"/>
      <c r="Y101" s="302"/>
      <c r="Z101" s="302"/>
      <c r="AA101" s="302"/>
      <c r="AB101" s="302"/>
      <c r="AC101" s="302"/>
      <c r="AD101" s="302"/>
      <c r="AE101" s="302"/>
      <c r="AF101" s="302"/>
      <c r="AG101" s="302"/>
      <c r="AH101" s="302"/>
      <c r="AI101" s="302"/>
      <c r="AJ101" s="302"/>
      <c r="AK101" s="302"/>
      <c r="AL101" s="302"/>
      <c r="AM101" s="302"/>
      <c r="AN101" s="4"/>
    </row>
    <row r="102" spans="1:40" ht="13.5" thickBot="1">
      <c r="A102" s="2"/>
      <c r="B102" s="5"/>
      <c r="C102" s="5"/>
      <c r="D102" s="5"/>
      <c r="E102" s="5"/>
      <c r="F102" s="5"/>
      <c r="G102" s="5"/>
      <c r="H102" s="5"/>
      <c r="I102" s="5"/>
      <c r="J102" s="5"/>
      <c r="K102" s="5"/>
      <c r="L102" s="5"/>
      <c r="M102" s="5"/>
      <c r="N102" s="5"/>
      <c r="O102" s="5"/>
      <c r="P102" s="5"/>
      <c r="Q102" s="5"/>
      <c r="R102" s="5"/>
      <c r="S102" s="5"/>
      <c r="T102" s="5"/>
      <c r="U102" s="5"/>
      <c r="V102" s="5"/>
      <c r="W102" s="5"/>
      <c r="X102" s="5"/>
      <c r="Y102" s="5"/>
      <c r="Z102" s="5"/>
      <c r="AA102" s="5"/>
      <c r="AB102" s="5"/>
      <c r="AC102" s="5"/>
      <c r="AD102" s="5"/>
      <c r="AE102" s="5"/>
      <c r="AF102" s="5"/>
      <c r="AG102" s="5"/>
      <c r="AH102" s="5"/>
      <c r="AI102" s="5"/>
      <c r="AJ102" s="5"/>
      <c r="AK102" s="5"/>
      <c r="AL102" s="5"/>
      <c r="AM102" s="5"/>
      <c r="AN102" s="3"/>
    </row>
    <row r="103" spans="1:40">
      <c r="A103"/>
      <c r="B103"/>
      <c r="C103"/>
      <c r="D103"/>
      <c r="E103"/>
      <c r="F103"/>
      <c r="G103"/>
      <c r="H103"/>
      <c r="I103"/>
      <c r="J103"/>
      <c r="K103"/>
      <c r="L103" s="302"/>
      <c r="M103" s="302"/>
      <c r="N103" s="302"/>
      <c r="O103" s="302"/>
      <c r="P103" s="302"/>
      <c r="Q103" s="302"/>
      <c r="R103" s="302"/>
      <c r="S103" s="302"/>
      <c r="T103" s="302"/>
      <c r="U103" s="302"/>
      <c r="V103"/>
      <c r="W103"/>
      <c r="X103"/>
      <c r="Y103"/>
      <c r="Z103"/>
      <c r="AA103"/>
      <c r="AB103"/>
      <c r="AC103"/>
      <c r="AD103"/>
      <c r="AE103"/>
      <c r="AF103"/>
      <c r="AG103"/>
      <c r="AH103"/>
      <c r="AI103"/>
      <c r="AJ103"/>
      <c r="AK103"/>
      <c r="AL103"/>
      <c r="AM103"/>
      <c r="AN103"/>
    </row>
    <row r="104" spans="1:40">
      <c r="A104"/>
      <c r="B104"/>
      <c r="C104"/>
      <c r="D104"/>
      <c r="E104"/>
      <c r="F104"/>
      <c r="G104"/>
      <c r="H104"/>
      <c r="I104"/>
      <c r="J104"/>
      <c r="K104"/>
      <c r="L104"/>
      <c r="M104"/>
      <c r="N104"/>
      <c r="O104"/>
      <c r="P104"/>
      <c r="Q104"/>
      <c r="R104"/>
      <c r="S104"/>
      <c r="T104"/>
      <c r="U104"/>
      <c r="V104"/>
      <c r="W104"/>
      <c r="X104"/>
      <c r="Y104"/>
      <c r="Z104"/>
      <c r="AA104"/>
      <c r="AB104"/>
      <c r="AC104"/>
      <c r="AD104"/>
      <c r="AE104"/>
      <c r="AF104"/>
      <c r="AG104"/>
      <c r="AH104"/>
      <c r="AI104"/>
      <c r="AJ104"/>
      <c r="AK104"/>
      <c r="AL104"/>
      <c r="AM104"/>
      <c r="AN104"/>
    </row>
    <row r="105" spans="1:40">
      <c r="A105"/>
      <c r="B105"/>
      <c r="C105"/>
      <c r="D105"/>
      <c r="E105"/>
      <c r="F105"/>
      <c r="G105"/>
      <c r="H105"/>
      <c r="I105"/>
      <c r="J105"/>
      <c r="K105"/>
      <c r="L105"/>
      <c r="M105"/>
      <c r="N105"/>
      <c r="O105"/>
      <c r="P105"/>
      <c r="Q105"/>
      <c r="R105"/>
      <c r="S105"/>
      <c r="T105"/>
      <c r="U105"/>
      <c r="V105"/>
      <c r="W105"/>
      <c r="X105"/>
      <c r="Y105"/>
      <c r="Z105"/>
      <c r="AA105"/>
      <c r="AB105"/>
      <c r="AC105"/>
      <c r="AD105"/>
      <c r="AE105"/>
      <c r="AF105"/>
      <c r="AG105"/>
      <c r="AH105"/>
      <c r="AI105"/>
      <c r="AJ105"/>
      <c r="AK105"/>
      <c r="AL105"/>
      <c r="AM105"/>
      <c r="AN105"/>
    </row>
    <row r="106" spans="1:40">
      <c r="A106"/>
      <c r="B106"/>
      <c r="C106"/>
      <c r="D106"/>
      <c r="E106"/>
      <c r="F106"/>
      <c r="G106"/>
      <c r="H106"/>
      <c r="I106"/>
      <c r="J106"/>
      <c r="K106"/>
      <c r="L106"/>
      <c r="M106"/>
      <c r="N106"/>
      <c r="O106"/>
      <c r="P106"/>
      <c r="Q106"/>
      <c r="R106"/>
      <c r="S106"/>
      <c r="T106"/>
      <c r="U106"/>
      <c r="V106"/>
      <c r="W106"/>
      <c r="X106"/>
      <c r="Y106"/>
      <c r="Z106"/>
      <c r="AA106"/>
      <c r="AB106"/>
      <c r="AC106"/>
      <c r="AD106"/>
      <c r="AE106"/>
      <c r="AF106"/>
      <c r="AG106"/>
      <c r="AH106"/>
      <c r="AI106"/>
      <c r="AJ106"/>
      <c r="AK106"/>
      <c r="AL106"/>
      <c r="AM106"/>
      <c r="AN106"/>
    </row>
    <row r="107" spans="1:40">
      <c r="A107"/>
      <c r="B107"/>
      <c r="C107"/>
      <c r="D107"/>
      <c r="E107"/>
      <c r="F107"/>
      <c r="G107"/>
      <c r="H107"/>
      <c r="I107"/>
      <c r="J107"/>
      <c r="K107"/>
      <c r="L107"/>
      <c r="M107"/>
      <c r="N107"/>
      <c r="O107"/>
      <c r="P107"/>
      <c r="Q107"/>
      <c r="R107"/>
      <c r="S107"/>
      <c r="T107"/>
      <c r="U107"/>
      <c r="V107"/>
      <c r="W107"/>
      <c r="X107"/>
      <c r="Y107"/>
      <c r="Z107"/>
      <c r="AA107"/>
      <c r="AB107"/>
      <c r="AC107"/>
      <c r="AD107"/>
      <c r="AE107"/>
      <c r="AF107"/>
      <c r="AG107"/>
      <c r="AH107"/>
      <c r="AI107"/>
      <c r="AJ107"/>
      <c r="AK107"/>
      <c r="AL107"/>
      <c r="AM107"/>
      <c r="AN107"/>
    </row>
    <row r="108" spans="1:40">
      <c r="A108"/>
      <c r="B108"/>
      <c r="C108"/>
      <c r="D108"/>
      <c r="E108"/>
      <c r="F108"/>
      <c r="G108"/>
      <c r="H108"/>
      <c r="I108"/>
      <c r="J108"/>
      <c r="K108"/>
      <c r="L108"/>
      <c r="M108"/>
      <c r="N108"/>
      <c r="O108"/>
      <c r="P108"/>
      <c r="Q108"/>
      <c r="R108"/>
      <c r="S108"/>
      <c r="T108"/>
      <c r="U108"/>
      <c r="V108"/>
      <c r="W108"/>
      <c r="X108"/>
      <c r="Y108"/>
      <c r="Z108"/>
      <c r="AA108"/>
      <c r="AB108"/>
      <c r="AC108"/>
      <c r="AD108"/>
      <c r="AE108"/>
      <c r="AF108"/>
      <c r="AG108"/>
      <c r="AH108"/>
      <c r="AI108"/>
      <c r="AJ108"/>
      <c r="AK108"/>
      <c r="AL108"/>
      <c r="AM108"/>
      <c r="AN108"/>
    </row>
    <row r="109" spans="1:40">
      <c r="A109"/>
      <c r="B109"/>
      <c r="C109"/>
      <c r="D109"/>
      <c r="E109"/>
      <c r="F109"/>
      <c r="G109"/>
      <c r="H109"/>
      <c r="I109"/>
      <c r="J109"/>
      <c r="K109"/>
      <c r="L109"/>
      <c r="M109"/>
      <c r="N109"/>
      <c r="O109"/>
      <c r="P109"/>
      <c r="Q109"/>
      <c r="R109"/>
      <c r="S109"/>
      <c r="T109"/>
      <c r="U109"/>
      <c r="V109"/>
      <c r="W109"/>
      <c r="X109"/>
      <c r="Y109"/>
      <c r="Z109"/>
      <c r="AA109"/>
      <c r="AB109"/>
      <c r="AC109"/>
      <c r="AD109"/>
      <c r="AE109"/>
      <c r="AF109"/>
      <c r="AG109"/>
      <c r="AH109"/>
      <c r="AI109"/>
      <c r="AJ109"/>
      <c r="AK109"/>
      <c r="AL109"/>
      <c r="AM109"/>
      <c r="AN109"/>
    </row>
    <row r="110" spans="1:40">
      <c r="A110"/>
      <c r="B110"/>
      <c r="C110"/>
      <c r="D110"/>
      <c r="E110"/>
      <c r="F110"/>
      <c r="G110"/>
      <c r="H110"/>
      <c r="I110"/>
      <c r="J110"/>
      <c r="K110"/>
      <c r="L110"/>
      <c r="M110"/>
      <c r="N110"/>
      <c r="O110"/>
      <c r="P110"/>
      <c r="Q110"/>
      <c r="R110"/>
      <c r="S110"/>
      <c r="T110"/>
      <c r="U110"/>
      <c r="V110"/>
      <c r="W110"/>
      <c r="X110"/>
      <c r="Y110"/>
      <c r="Z110"/>
      <c r="AA110"/>
      <c r="AB110"/>
      <c r="AC110"/>
      <c r="AD110"/>
      <c r="AE110"/>
      <c r="AF110"/>
      <c r="AG110"/>
      <c r="AH110"/>
      <c r="AI110"/>
      <c r="AJ110"/>
      <c r="AK110"/>
      <c r="AL110"/>
      <c r="AM110"/>
      <c r="AN110"/>
    </row>
    <row r="111" spans="1:40">
      <c r="A111"/>
      <c r="B111"/>
      <c r="C111"/>
      <c r="D111"/>
      <c r="E111"/>
      <c r="F111"/>
      <c r="G111"/>
      <c r="H111"/>
      <c r="I111"/>
      <c r="J111"/>
      <c r="K111"/>
      <c r="L111"/>
      <c r="M111"/>
      <c r="N111"/>
      <c r="O111"/>
      <c r="P111"/>
      <c r="Q111"/>
      <c r="R111"/>
      <c r="S111"/>
      <c r="T111"/>
      <c r="U111"/>
      <c r="V111"/>
      <c r="W111"/>
      <c r="X111"/>
      <c r="Y111"/>
      <c r="Z111"/>
      <c r="AA111"/>
      <c r="AB111"/>
      <c r="AC111"/>
      <c r="AD111"/>
      <c r="AE111"/>
      <c r="AF111"/>
      <c r="AG111"/>
      <c r="AH111"/>
      <c r="AI111"/>
      <c r="AJ111"/>
      <c r="AK111"/>
      <c r="AL111"/>
      <c r="AM111"/>
      <c r="AN111"/>
    </row>
    <row r="112" spans="1:40">
      <c r="A112"/>
      <c r="B112"/>
      <c r="C112"/>
      <c r="D112"/>
      <c r="E112"/>
      <c r="F112"/>
      <c r="G112"/>
      <c r="H112"/>
      <c r="I112"/>
      <c r="J112"/>
      <c r="K112"/>
      <c r="L112"/>
      <c r="M112"/>
      <c r="N112"/>
      <c r="O112"/>
      <c r="P112"/>
      <c r="Q112"/>
      <c r="R112"/>
      <c r="S112"/>
      <c r="T112"/>
      <c r="U112"/>
      <c r="V112"/>
      <c r="W112"/>
      <c r="X112"/>
      <c r="Y112"/>
      <c r="Z112"/>
      <c r="AA112"/>
      <c r="AB112"/>
      <c r="AC112"/>
      <c r="AD112"/>
      <c r="AE112"/>
      <c r="AF112"/>
      <c r="AG112"/>
      <c r="AH112"/>
      <c r="AI112"/>
      <c r="AJ112"/>
      <c r="AK112"/>
      <c r="AL112"/>
      <c r="AM112"/>
      <c r="AN112"/>
    </row>
    <row r="113" spans="1:40">
      <c r="A113"/>
      <c r="B113"/>
      <c r="C113"/>
      <c r="D113"/>
      <c r="E113"/>
      <c r="F113"/>
      <c r="G113"/>
      <c r="H113"/>
      <c r="I113"/>
      <c r="J113"/>
      <c r="K113"/>
      <c r="L113"/>
      <c r="M113"/>
      <c r="N113"/>
      <c r="O113"/>
      <c r="P113"/>
      <c r="Q113"/>
      <c r="R113"/>
      <c r="S113"/>
      <c r="T113"/>
      <c r="U113"/>
      <c r="V113"/>
      <c r="W113"/>
      <c r="X113"/>
      <c r="Y113"/>
      <c r="Z113"/>
      <c r="AA113"/>
      <c r="AB113"/>
      <c r="AC113"/>
      <c r="AD113"/>
      <c r="AE113"/>
      <c r="AF113"/>
      <c r="AG113"/>
      <c r="AH113"/>
      <c r="AI113"/>
      <c r="AJ113"/>
      <c r="AK113"/>
      <c r="AL113"/>
      <c r="AM113"/>
      <c r="AN113"/>
    </row>
    <row r="114" spans="1:40">
      <c r="A114"/>
      <c r="B114"/>
      <c r="C114"/>
      <c r="D114"/>
      <c r="E114"/>
      <c r="F114"/>
      <c r="G114"/>
      <c r="H114"/>
      <c r="I114"/>
      <c r="J114"/>
      <c r="K114"/>
      <c r="L114"/>
      <c r="M114"/>
      <c r="N114"/>
      <c r="O114"/>
      <c r="P114"/>
      <c r="Q114"/>
      <c r="R114"/>
      <c r="S114"/>
      <c r="T114"/>
      <c r="U114"/>
      <c r="V114"/>
      <c r="W114"/>
      <c r="X114"/>
      <c r="Y114"/>
      <c r="Z114"/>
      <c r="AA114"/>
      <c r="AB114"/>
      <c r="AC114"/>
      <c r="AD114"/>
      <c r="AE114"/>
      <c r="AF114"/>
      <c r="AG114"/>
      <c r="AH114"/>
      <c r="AI114"/>
      <c r="AJ114"/>
      <c r="AK114"/>
      <c r="AL114"/>
      <c r="AM114"/>
      <c r="AN114"/>
    </row>
    <row r="115" spans="1:40">
      <c r="A115"/>
      <c r="B115"/>
      <c r="C115"/>
      <c r="D115"/>
      <c r="E115"/>
      <c r="F115"/>
      <c r="G115"/>
      <c r="H115"/>
      <c r="I115"/>
      <c r="J115"/>
      <c r="K115"/>
      <c r="L115"/>
      <c r="M115"/>
      <c r="N115"/>
      <c r="O115"/>
      <c r="P115"/>
      <c r="Q115"/>
      <c r="R115"/>
      <c r="S115"/>
      <c r="T115"/>
      <c r="U115"/>
      <c r="V115"/>
      <c r="W115"/>
      <c r="X115"/>
      <c r="Y115"/>
      <c r="Z115"/>
      <c r="AA115"/>
      <c r="AB115"/>
      <c r="AC115"/>
      <c r="AD115"/>
      <c r="AE115"/>
      <c r="AF115"/>
      <c r="AG115"/>
      <c r="AH115"/>
      <c r="AI115"/>
      <c r="AJ115"/>
      <c r="AK115"/>
      <c r="AL115"/>
      <c r="AM115"/>
      <c r="AN115"/>
    </row>
    <row r="116" spans="1:40">
      <c r="A116"/>
      <c r="B116"/>
      <c r="C116"/>
      <c r="D116"/>
      <c r="E116"/>
      <c r="F116"/>
      <c r="G116"/>
      <c r="H116"/>
      <c r="I116"/>
      <c r="J116"/>
      <c r="K116"/>
      <c r="L116"/>
      <c r="M116"/>
      <c r="N116"/>
      <c r="O116"/>
      <c r="P116"/>
      <c r="Q116"/>
      <c r="R116"/>
      <c r="S116"/>
      <c r="T116"/>
      <c r="U116"/>
      <c r="V116"/>
      <c r="W116"/>
      <c r="X116"/>
      <c r="Y116"/>
      <c r="Z116"/>
      <c r="AA116"/>
      <c r="AB116"/>
      <c r="AC116"/>
      <c r="AD116"/>
      <c r="AE116"/>
      <c r="AF116"/>
      <c r="AG116"/>
      <c r="AH116"/>
      <c r="AI116"/>
      <c r="AJ116"/>
      <c r="AK116"/>
      <c r="AL116"/>
      <c r="AM116"/>
      <c r="AN116"/>
    </row>
    <row r="117" spans="1:40">
      <c r="A117"/>
      <c r="B117"/>
      <c r="C117"/>
      <c r="D117"/>
      <c r="E117"/>
      <c r="F117"/>
      <c r="G117"/>
      <c r="H117"/>
      <c r="I117"/>
      <c r="J117"/>
      <c r="K117"/>
      <c r="L117"/>
      <c r="M117"/>
      <c r="N117"/>
      <c r="O117"/>
      <c r="P117"/>
      <c r="Q117"/>
      <c r="R117"/>
      <c r="S117"/>
      <c r="T117"/>
      <c r="U117"/>
      <c r="V117"/>
      <c r="W117"/>
      <c r="X117"/>
      <c r="Y117"/>
      <c r="Z117"/>
      <c r="AA117"/>
      <c r="AB117"/>
      <c r="AC117"/>
      <c r="AD117"/>
      <c r="AE117"/>
      <c r="AF117"/>
      <c r="AG117"/>
      <c r="AH117"/>
      <c r="AI117"/>
      <c r="AJ117"/>
      <c r="AK117"/>
      <c r="AL117"/>
      <c r="AM117"/>
      <c r="AN117"/>
    </row>
    <row r="118" spans="1:40">
      <c r="A118"/>
      <c r="B118"/>
      <c r="C118"/>
      <c r="D118"/>
      <c r="E118"/>
      <c r="F118"/>
      <c r="G118"/>
      <c r="H118"/>
      <c r="I118"/>
      <c r="J118"/>
      <c r="K118"/>
      <c r="L118"/>
      <c r="M118"/>
      <c r="N118"/>
      <c r="O118"/>
      <c r="P118"/>
      <c r="Q118"/>
      <c r="R118"/>
      <c r="S118"/>
      <c r="T118"/>
      <c r="U118"/>
      <c r="V118"/>
      <c r="W118"/>
      <c r="X118"/>
      <c r="Y118"/>
      <c r="Z118"/>
      <c r="AA118"/>
      <c r="AB118"/>
      <c r="AC118"/>
      <c r="AD118"/>
      <c r="AE118"/>
      <c r="AF118"/>
      <c r="AG118"/>
      <c r="AH118"/>
      <c r="AI118"/>
      <c r="AJ118"/>
      <c r="AK118"/>
      <c r="AL118"/>
      <c r="AM118"/>
      <c r="AN118"/>
    </row>
    <row r="119" spans="1:40">
      <c r="A119"/>
      <c r="B119"/>
      <c r="C119"/>
      <c r="D119"/>
      <c r="E119"/>
      <c r="F119"/>
      <c r="G119"/>
      <c r="H119"/>
      <c r="I119"/>
      <c r="J119"/>
      <c r="K119"/>
      <c r="L119"/>
      <c r="M119"/>
      <c r="N119"/>
      <c r="O119"/>
      <c r="P119"/>
      <c r="Q119"/>
      <c r="R119"/>
      <c r="S119"/>
      <c r="T119"/>
      <c r="U119"/>
      <c r="V119"/>
      <c r="W119"/>
      <c r="X119"/>
      <c r="Y119"/>
      <c r="Z119"/>
      <c r="AA119"/>
      <c r="AB119"/>
      <c r="AC119"/>
      <c r="AD119"/>
      <c r="AE119"/>
      <c r="AF119"/>
      <c r="AG119"/>
      <c r="AH119"/>
      <c r="AI119"/>
      <c r="AJ119"/>
      <c r="AK119"/>
      <c r="AL119"/>
      <c r="AM119"/>
      <c r="AN119"/>
    </row>
    <row r="120" spans="1:40">
      <c r="A120"/>
      <c r="B120"/>
      <c r="C120"/>
      <c r="D120"/>
      <c r="E120"/>
      <c r="F120"/>
      <c r="G120"/>
      <c r="H120"/>
      <c r="I120"/>
      <c r="J120"/>
      <c r="K120"/>
      <c r="L120"/>
      <c r="M120"/>
      <c r="N120"/>
      <c r="O120"/>
      <c r="P120"/>
      <c r="Q120"/>
      <c r="R120"/>
      <c r="S120"/>
      <c r="T120"/>
      <c r="U120"/>
      <c r="V120"/>
      <c r="W120"/>
      <c r="X120"/>
      <c r="Y120"/>
      <c r="Z120"/>
      <c r="AA120"/>
      <c r="AB120"/>
      <c r="AC120"/>
      <c r="AD120"/>
      <c r="AE120"/>
      <c r="AF120"/>
      <c r="AG120"/>
      <c r="AH120"/>
      <c r="AI120"/>
      <c r="AJ120"/>
      <c r="AK120"/>
      <c r="AL120"/>
      <c r="AM120"/>
      <c r="AN120"/>
    </row>
    <row r="121" spans="1:40">
      <c r="A121"/>
      <c r="B121"/>
      <c r="C121"/>
      <c r="D121"/>
      <c r="E121"/>
      <c r="F121"/>
      <c r="G121"/>
      <c r="H121"/>
      <c r="I121"/>
      <c r="J121"/>
      <c r="K121"/>
      <c r="L121"/>
      <c r="M121"/>
      <c r="N121"/>
      <c r="O121"/>
      <c r="P121"/>
      <c r="Q121"/>
      <c r="R121"/>
      <c r="S121"/>
      <c r="T121"/>
      <c r="U121"/>
      <c r="V121"/>
      <c r="W121"/>
      <c r="X121"/>
      <c r="Y121"/>
      <c r="Z121"/>
      <c r="AA121"/>
      <c r="AB121"/>
      <c r="AC121"/>
      <c r="AD121"/>
      <c r="AE121"/>
      <c r="AF121"/>
      <c r="AG121"/>
      <c r="AH121"/>
      <c r="AI121"/>
      <c r="AJ121"/>
      <c r="AK121"/>
      <c r="AL121"/>
      <c r="AM121"/>
      <c r="AN121"/>
    </row>
    <row r="122" spans="1:40">
      <c r="A122"/>
      <c r="B122"/>
      <c r="C122"/>
      <c r="D122"/>
      <c r="E122"/>
      <c r="F122"/>
      <c r="G122"/>
      <c r="H122"/>
      <c r="I122"/>
      <c r="J122"/>
      <c r="K122"/>
      <c r="L122"/>
      <c r="M122"/>
      <c r="N122"/>
      <c r="O122"/>
      <c r="P122"/>
      <c r="Q122"/>
      <c r="R122"/>
      <c r="S122"/>
      <c r="T122"/>
      <c r="U122"/>
      <c r="V122"/>
      <c r="W122"/>
      <c r="X122"/>
      <c r="Y122"/>
      <c r="Z122"/>
      <c r="AA122"/>
      <c r="AB122"/>
      <c r="AC122"/>
      <c r="AD122"/>
      <c r="AE122"/>
      <c r="AF122"/>
      <c r="AG122"/>
      <c r="AH122"/>
      <c r="AI122"/>
      <c r="AJ122"/>
      <c r="AK122"/>
      <c r="AL122"/>
      <c r="AM122"/>
      <c r="AN122"/>
    </row>
    <row r="123" spans="1:40">
      <c r="A123"/>
      <c r="B123"/>
      <c r="C123"/>
      <c r="D123"/>
      <c r="E123"/>
      <c r="F123"/>
      <c r="G123"/>
      <c r="H123"/>
      <c r="I123"/>
      <c r="J123"/>
      <c r="K123"/>
      <c r="L123"/>
      <c r="M123"/>
      <c r="N123"/>
      <c r="O123"/>
      <c r="P123"/>
      <c r="Q123"/>
      <c r="R123"/>
      <c r="S123"/>
      <c r="T123"/>
      <c r="U123"/>
      <c r="V123"/>
      <c r="W123"/>
      <c r="X123"/>
      <c r="Y123"/>
      <c r="Z123"/>
      <c r="AA123"/>
      <c r="AB123"/>
      <c r="AC123"/>
      <c r="AD123"/>
      <c r="AE123"/>
      <c r="AF123"/>
      <c r="AG123"/>
      <c r="AH123"/>
      <c r="AI123"/>
      <c r="AJ123"/>
      <c r="AK123"/>
      <c r="AL123"/>
      <c r="AM123"/>
      <c r="AN123"/>
    </row>
    <row r="124" spans="1:40">
      <c r="A124"/>
      <c r="B124"/>
      <c r="C124"/>
      <c r="D124"/>
      <c r="E124"/>
      <c r="F124"/>
      <c r="G124"/>
      <c r="H124"/>
      <c r="I124"/>
      <c r="J124"/>
      <c r="K124"/>
      <c r="L124"/>
      <c r="M124"/>
      <c r="N124"/>
      <c r="O124"/>
      <c r="P124"/>
      <c r="Q124"/>
      <c r="R124"/>
      <c r="S124"/>
      <c r="T124"/>
      <c r="U124"/>
      <c r="V124"/>
      <c r="W124"/>
      <c r="X124"/>
      <c r="Y124"/>
      <c r="Z124"/>
      <c r="AA124"/>
      <c r="AB124"/>
      <c r="AC124"/>
      <c r="AD124"/>
      <c r="AE124"/>
      <c r="AF124"/>
      <c r="AG124"/>
      <c r="AH124"/>
      <c r="AI124"/>
      <c r="AJ124"/>
      <c r="AK124"/>
      <c r="AL124"/>
      <c r="AM124"/>
      <c r="AN124"/>
    </row>
    <row r="125" spans="1:40">
      <c r="A125"/>
      <c r="B125"/>
      <c r="C125"/>
      <c r="D125"/>
      <c r="E125"/>
      <c r="F125"/>
      <c r="G125"/>
      <c r="H125"/>
      <c r="I125"/>
      <c r="J125"/>
      <c r="K125"/>
      <c r="L125"/>
      <c r="M125"/>
      <c r="N125"/>
      <c r="O125"/>
      <c r="P125"/>
      <c r="Q125"/>
      <c r="R125"/>
      <c r="S125"/>
      <c r="T125"/>
      <c r="U125"/>
      <c r="V125"/>
      <c r="W125"/>
      <c r="X125"/>
      <c r="Y125"/>
      <c r="Z125"/>
      <c r="AA125"/>
      <c r="AB125"/>
      <c r="AC125"/>
      <c r="AD125"/>
      <c r="AE125"/>
      <c r="AF125"/>
      <c r="AG125"/>
      <c r="AH125"/>
      <c r="AI125"/>
      <c r="AJ125"/>
      <c r="AK125"/>
      <c r="AL125"/>
      <c r="AM125"/>
      <c r="AN125"/>
    </row>
    <row r="126" spans="1:40">
      <c r="A126"/>
      <c r="B126"/>
      <c r="C126"/>
      <c r="D126"/>
      <c r="E126"/>
      <c r="F126"/>
      <c r="G126"/>
      <c r="H126"/>
      <c r="I126"/>
      <c r="J126"/>
      <c r="K126"/>
      <c r="L126"/>
      <c r="M126"/>
      <c r="N126"/>
      <c r="O126"/>
      <c r="P126"/>
      <c r="Q126"/>
      <c r="R126"/>
      <c r="S126"/>
      <c r="T126"/>
      <c r="U126"/>
      <c r="V126"/>
      <c r="W126"/>
      <c r="X126"/>
      <c r="Y126"/>
      <c r="Z126"/>
      <c r="AA126"/>
      <c r="AB126"/>
      <c r="AC126"/>
      <c r="AD126"/>
      <c r="AE126"/>
      <c r="AF126"/>
      <c r="AG126"/>
      <c r="AH126"/>
      <c r="AI126"/>
      <c r="AJ126"/>
      <c r="AK126"/>
      <c r="AL126"/>
      <c r="AM126"/>
      <c r="AN126"/>
    </row>
    <row r="127" spans="1:40">
      <c r="A127"/>
      <c r="B127"/>
      <c r="C127"/>
      <c r="D127"/>
      <c r="E127"/>
      <c r="F127"/>
      <c r="G127"/>
      <c r="H127"/>
      <c r="I127"/>
      <c r="J127"/>
      <c r="K127"/>
      <c r="L127"/>
      <c r="M127"/>
      <c r="N127"/>
      <c r="O127"/>
      <c r="P127"/>
      <c r="Q127"/>
      <c r="R127"/>
      <c r="S127"/>
      <c r="T127"/>
      <c r="U127"/>
      <c r="V127"/>
      <c r="W127"/>
      <c r="X127"/>
      <c r="Y127"/>
      <c r="Z127"/>
      <c r="AA127"/>
      <c r="AB127"/>
      <c r="AC127"/>
      <c r="AD127"/>
      <c r="AE127"/>
      <c r="AF127"/>
      <c r="AG127"/>
      <c r="AH127"/>
      <c r="AI127"/>
      <c r="AJ127"/>
      <c r="AK127"/>
      <c r="AL127"/>
      <c r="AM127"/>
      <c r="AN127"/>
    </row>
    <row r="128" spans="1:40">
      <c r="A128"/>
      <c r="B128"/>
      <c r="C128"/>
      <c r="D128"/>
      <c r="E128"/>
      <c r="F128"/>
      <c r="G128"/>
      <c r="H128"/>
      <c r="I128"/>
      <c r="J128"/>
      <c r="K128"/>
      <c r="L128"/>
      <c r="M128"/>
      <c r="N128"/>
      <c r="O128"/>
      <c r="P128"/>
      <c r="Q128"/>
      <c r="R128"/>
      <c r="S128"/>
      <c r="T128"/>
      <c r="U128"/>
      <c r="V128"/>
      <c r="W128"/>
      <c r="X128"/>
      <c r="Y128"/>
      <c r="Z128"/>
      <c r="AA128"/>
      <c r="AB128"/>
      <c r="AC128"/>
      <c r="AD128"/>
      <c r="AE128"/>
      <c r="AF128"/>
      <c r="AG128"/>
      <c r="AH128"/>
      <c r="AI128"/>
      <c r="AJ128"/>
      <c r="AK128"/>
      <c r="AL128"/>
      <c r="AM128"/>
      <c r="AN128"/>
    </row>
    <row r="129" spans="1:40">
      <c r="A129"/>
      <c r="B129"/>
      <c r="C129"/>
      <c r="D129"/>
      <c r="E129"/>
      <c r="F129"/>
      <c r="G129"/>
      <c r="H129"/>
      <c r="I129"/>
      <c r="J129"/>
      <c r="K129"/>
      <c r="L129"/>
      <c r="M129"/>
      <c r="N129"/>
      <c r="O129"/>
      <c r="P129"/>
      <c r="Q129"/>
      <c r="R129"/>
      <c r="S129"/>
      <c r="T129"/>
      <c r="U129"/>
      <c r="V129"/>
      <c r="W129"/>
      <c r="X129"/>
      <c r="Y129"/>
      <c r="Z129"/>
      <c r="AA129"/>
      <c r="AB129"/>
      <c r="AC129"/>
      <c r="AD129"/>
      <c r="AE129"/>
      <c r="AF129"/>
      <c r="AG129"/>
      <c r="AH129"/>
      <c r="AI129"/>
      <c r="AJ129"/>
      <c r="AK129"/>
      <c r="AL129"/>
      <c r="AM129"/>
      <c r="AN129"/>
    </row>
    <row r="130" spans="1:40">
      <c r="A130"/>
      <c r="B130"/>
      <c r="C130"/>
      <c r="D130"/>
      <c r="E130"/>
      <c r="F130"/>
      <c r="G130"/>
      <c r="H130"/>
      <c r="I130"/>
      <c r="J130"/>
      <c r="K130"/>
      <c r="L130"/>
      <c r="M130"/>
      <c r="N130"/>
      <c r="O130"/>
      <c r="P130"/>
      <c r="Q130"/>
      <c r="R130"/>
      <c r="S130"/>
      <c r="T130"/>
      <c r="U130"/>
      <c r="V130"/>
      <c r="W130"/>
      <c r="X130"/>
      <c r="Y130"/>
      <c r="Z130"/>
      <c r="AA130"/>
      <c r="AB130"/>
      <c r="AC130"/>
      <c r="AD130"/>
      <c r="AE130"/>
      <c r="AF130"/>
      <c r="AG130"/>
      <c r="AH130"/>
      <c r="AI130"/>
      <c r="AJ130"/>
      <c r="AK130"/>
      <c r="AL130"/>
      <c r="AM130"/>
      <c r="AN130"/>
    </row>
    <row r="131" spans="1:40">
      <c r="A131"/>
      <c r="B131"/>
      <c r="C131"/>
      <c r="D131"/>
      <c r="E131"/>
      <c r="F131"/>
      <c r="G131"/>
      <c r="H131"/>
      <c r="I131"/>
      <c r="J131"/>
      <c r="K131"/>
      <c r="L131"/>
      <c r="M131"/>
      <c r="N131"/>
      <c r="O131"/>
      <c r="P131"/>
      <c r="Q131"/>
      <c r="R131"/>
      <c r="S131"/>
      <c r="T131"/>
      <c r="U131"/>
      <c r="V131"/>
      <c r="W131"/>
      <c r="X131"/>
      <c r="Y131"/>
      <c r="Z131"/>
      <c r="AA131"/>
      <c r="AB131"/>
      <c r="AC131"/>
      <c r="AD131"/>
      <c r="AE131"/>
      <c r="AF131"/>
      <c r="AG131"/>
      <c r="AH131"/>
      <c r="AI131"/>
      <c r="AJ131"/>
      <c r="AK131"/>
      <c r="AL131"/>
      <c r="AM131"/>
      <c r="AN131"/>
    </row>
    <row r="132" spans="1:40">
      <c r="A132"/>
      <c r="B132"/>
      <c r="C132"/>
      <c r="D132"/>
      <c r="E132"/>
      <c r="F132"/>
      <c r="G132"/>
      <c r="H132"/>
      <c r="I132"/>
      <c r="J132"/>
      <c r="K132"/>
      <c r="L132"/>
      <c r="M132"/>
      <c r="N132"/>
      <c r="O132"/>
      <c r="P132"/>
      <c r="Q132"/>
      <c r="R132"/>
      <c r="S132"/>
      <c r="T132"/>
      <c r="U132"/>
      <c r="V132"/>
      <c r="W132"/>
      <c r="X132"/>
      <c r="Y132"/>
      <c r="Z132"/>
      <c r="AA132"/>
      <c r="AB132"/>
      <c r="AC132"/>
      <c r="AD132"/>
      <c r="AE132"/>
      <c r="AF132"/>
      <c r="AG132"/>
      <c r="AH132"/>
      <c r="AI132"/>
      <c r="AJ132"/>
      <c r="AK132"/>
      <c r="AL132"/>
      <c r="AM132"/>
      <c r="AN132"/>
    </row>
    <row r="133" spans="1:40">
      <c r="A133"/>
      <c r="B133"/>
      <c r="C133"/>
      <c r="D133"/>
      <c r="E133"/>
      <c r="F133"/>
      <c r="G133"/>
      <c r="H133"/>
      <c r="I133"/>
      <c r="J133"/>
      <c r="K133"/>
      <c r="L133"/>
      <c r="M133"/>
      <c r="N133"/>
      <c r="O133"/>
      <c r="P133"/>
      <c r="Q133"/>
      <c r="R133"/>
      <c r="S133"/>
      <c r="T133"/>
      <c r="U133"/>
      <c r="V133"/>
      <c r="W133"/>
      <c r="X133"/>
      <c r="Y133"/>
      <c r="Z133"/>
      <c r="AA133"/>
      <c r="AB133"/>
      <c r="AC133"/>
      <c r="AD133"/>
      <c r="AE133"/>
      <c r="AF133"/>
      <c r="AG133"/>
      <c r="AH133"/>
      <c r="AI133"/>
      <c r="AJ133"/>
      <c r="AK133"/>
      <c r="AL133"/>
      <c r="AM133"/>
      <c r="AN133"/>
    </row>
    <row r="134" spans="1:40">
      <c r="A134"/>
      <c r="B134"/>
      <c r="C134"/>
      <c r="D134"/>
      <c r="E134"/>
      <c r="F134"/>
      <c r="G134"/>
      <c r="H134"/>
      <c r="I134"/>
      <c r="J134"/>
      <c r="K134"/>
      <c r="L134"/>
      <c r="M134"/>
      <c r="N134"/>
      <c r="O134"/>
      <c r="P134"/>
      <c r="Q134"/>
      <c r="R134"/>
      <c r="S134"/>
      <c r="T134"/>
      <c r="U134"/>
      <c r="V134"/>
      <c r="W134"/>
      <c r="X134"/>
      <c r="Y134"/>
      <c r="Z134"/>
      <c r="AA134"/>
      <c r="AB134"/>
      <c r="AC134"/>
      <c r="AD134"/>
      <c r="AE134"/>
      <c r="AF134"/>
      <c r="AG134"/>
      <c r="AH134"/>
      <c r="AI134"/>
      <c r="AJ134"/>
      <c r="AK134"/>
      <c r="AL134"/>
      <c r="AM134"/>
      <c r="AN134"/>
    </row>
    <row r="135" spans="1:40">
      <c r="A135"/>
      <c r="B135"/>
      <c r="C135"/>
      <c r="D135"/>
      <c r="E135"/>
      <c r="F135"/>
      <c r="G135"/>
      <c r="H135"/>
      <c r="I135"/>
      <c r="J135"/>
      <c r="K135"/>
      <c r="L135"/>
      <c r="M135"/>
      <c r="N135"/>
      <c r="O135"/>
      <c r="P135"/>
      <c r="Q135"/>
      <c r="R135"/>
      <c r="S135"/>
      <c r="T135"/>
      <c r="U135"/>
      <c r="V135"/>
      <c r="W135"/>
      <c r="X135"/>
      <c r="Y135"/>
      <c r="Z135"/>
      <c r="AA135"/>
      <c r="AB135"/>
      <c r="AC135"/>
      <c r="AD135"/>
      <c r="AE135"/>
      <c r="AF135"/>
      <c r="AG135"/>
      <c r="AH135"/>
      <c r="AI135"/>
      <c r="AJ135"/>
      <c r="AK135"/>
      <c r="AL135"/>
      <c r="AM135"/>
      <c r="AN135"/>
    </row>
    <row r="136" spans="1:40">
      <c r="A136"/>
      <c r="B136"/>
      <c r="C136"/>
      <c r="D136"/>
      <c r="E136"/>
      <c r="F136"/>
      <c r="G136"/>
      <c r="H136"/>
      <c r="I136"/>
      <c r="J136"/>
      <c r="K136"/>
      <c r="L136"/>
      <c r="M136"/>
      <c r="N136"/>
      <c r="O136"/>
      <c r="P136"/>
      <c r="Q136"/>
      <c r="R136"/>
      <c r="S136"/>
      <c r="T136"/>
      <c r="U136"/>
      <c r="V136"/>
      <c r="W136"/>
      <c r="X136"/>
      <c r="Y136"/>
      <c r="Z136"/>
      <c r="AA136"/>
      <c r="AB136"/>
      <c r="AC136"/>
      <c r="AD136"/>
      <c r="AE136"/>
      <c r="AF136"/>
      <c r="AG136"/>
      <c r="AH136"/>
      <c r="AI136"/>
      <c r="AJ136"/>
      <c r="AK136"/>
      <c r="AL136"/>
      <c r="AM136"/>
      <c r="AN136"/>
    </row>
    <row r="137" spans="1:40">
      <c r="A137"/>
      <c r="B137"/>
      <c r="C137"/>
      <c r="D137"/>
      <c r="E137"/>
      <c r="F137"/>
      <c r="G137"/>
      <c r="H137"/>
      <c r="I137"/>
      <c r="J137"/>
      <c r="K137"/>
      <c r="L137"/>
      <c r="M137"/>
      <c r="N137"/>
      <c r="O137"/>
      <c r="P137"/>
      <c r="Q137"/>
      <c r="R137"/>
      <c r="S137"/>
      <c r="T137"/>
      <c r="U137"/>
      <c r="V137"/>
      <c r="W137"/>
      <c r="X137"/>
      <c r="Y137"/>
      <c r="Z137"/>
      <c r="AA137"/>
      <c r="AB137"/>
      <c r="AC137"/>
      <c r="AD137"/>
      <c r="AE137"/>
      <c r="AF137"/>
      <c r="AG137"/>
      <c r="AH137"/>
      <c r="AI137"/>
      <c r="AJ137"/>
      <c r="AK137"/>
      <c r="AL137"/>
      <c r="AM137"/>
      <c r="AN137"/>
    </row>
    <row r="138" spans="1:40">
      <c r="A138"/>
      <c r="B138"/>
      <c r="C138"/>
      <c r="D138"/>
      <c r="E138"/>
      <c r="F138"/>
      <c r="G138"/>
      <c r="H138"/>
      <c r="I138"/>
      <c r="J138"/>
      <c r="K138"/>
      <c r="L138"/>
      <c r="M138"/>
      <c r="N138"/>
      <c r="O138"/>
      <c r="P138"/>
      <c r="Q138"/>
      <c r="R138"/>
      <c r="S138"/>
      <c r="T138"/>
      <c r="U138"/>
      <c r="V138"/>
      <c r="W138"/>
      <c r="X138"/>
      <c r="Y138"/>
      <c r="Z138"/>
      <c r="AA138"/>
      <c r="AB138"/>
      <c r="AC138"/>
      <c r="AD138"/>
      <c r="AE138"/>
      <c r="AF138"/>
      <c r="AG138"/>
      <c r="AH138"/>
      <c r="AI138"/>
      <c r="AJ138"/>
      <c r="AK138"/>
      <c r="AL138"/>
      <c r="AM138"/>
      <c r="AN138"/>
    </row>
    <row r="139" spans="1:40">
      <c r="A139"/>
      <c r="B139"/>
      <c r="C139"/>
      <c r="D139"/>
      <c r="E139"/>
      <c r="F139"/>
      <c r="G139"/>
      <c r="H139"/>
      <c r="I139"/>
      <c r="J139"/>
      <c r="K139"/>
      <c r="L139"/>
      <c r="M139"/>
      <c r="N139"/>
      <c r="O139"/>
      <c r="P139"/>
      <c r="Q139"/>
      <c r="R139"/>
      <c r="S139"/>
      <c r="T139"/>
      <c r="U139"/>
      <c r="V139"/>
      <c r="W139"/>
      <c r="X139"/>
      <c r="Y139"/>
      <c r="Z139"/>
      <c r="AA139"/>
      <c r="AB139"/>
      <c r="AC139"/>
      <c r="AD139"/>
      <c r="AE139"/>
      <c r="AF139"/>
      <c r="AG139"/>
      <c r="AH139"/>
      <c r="AI139"/>
      <c r="AJ139"/>
      <c r="AK139"/>
      <c r="AL139"/>
      <c r="AM139"/>
      <c r="AN139"/>
    </row>
    <row r="140" spans="1:40">
      <c r="A140"/>
      <c r="B140"/>
      <c r="C140"/>
      <c r="D140"/>
      <c r="E140"/>
      <c r="F140"/>
      <c r="G140"/>
      <c r="H140"/>
      <c r="I140"/>
      <c r="J140"/>
      <c r="K140"/>
      <c r="L140"/>
      <c r="M140"/>
      <c r="N140"/>
      <c r="O140"/>
      <c r="P140"/>
      <c r="Q140"/>
      <c r="R140"/>
      <c r="S140"/>
      <c r="T140"/>
      <c r="U140"/>
      <c r="V140"/>
      <c r="W140"/>
      <c r="X140"/>
      <c r="Y140"/>
      <c r="Z140"/>
      <c r="AA140"/>
      <c r="AB140"/>
      <c r="AC140"/>
      <c r="AD140"/>
      <c r="AE140"/>
      <c r="AF140"/>
      <c r="AG140"/>
      <c r="AH140"/>
      <c r="AI140"/>
      <c r="AJ140"/>
      <c r="AK140"/>
      <c r="AL140"/>
      <c r="AM140"/>
      <c r="AN140"/>
    </row>
    <row r="141" spans="1:40">
      <c r="A141"/>
      <c r="B141"/>
      <c r="C141"/>
      <c r="D141"/>
      <c r="E141"/>
      <c r="F141"/>
      <c r="G141"/>
      <c r="H141"/>
      <c r="I141"/>
      <c r="J141"/>
      <c r="K141"/>
      <c r="L141"/>
      <c r="M141"/>
      <c r="N141"/>
      <c r="O141"/>
      <c r="P141"/>
      <c r="Q141"/>
      <c r="R141"/>
      <c r="S141"/>
      <c r="T141"/>
      <c r="U141"/>
      <c r="V141"/>
      <c r="W141"/>
      <c r="X141"/>
      <c r="Y141"/>
      <c r="Z141"/>
      <c r="AA141"/>
      <c r="AB141"/>
      <c r="AC141"/>
      <c r="AD141"/>
      <c r="AE141"/>
      <c r="AF141"/>
      <c r="AG141"/>
      <c r="AH141"/>
      <c r="AI141"/>
      <c r="AJ141"/>
      <c r="AK141"/>
      <c r="AL141"/>
      <c r="AM141"/>
      <c r="AN141"/>
    </row>
    <row r="142" spans="1:40">
      <c r="A142"/>
      <c r="B142"/>
      <c r="C142"/>
      <c r="D142"/>
      <c r="E142"/>
      <c r="F142"/>
      <c r="G142"/>
      <c r="H142"/>
      <c r="I142"/>
      <c r="J142"/>
      <c r="K142"/>
      <c r="L142"/>
      <c r="M142"/>
      <c r="N142"/>
      <c r="O142"/>
      <c r="P142"/>
      <c r="Q142"/>
      <c r="R142"/>
      <c r="S142"/>
      <c r="T142"/>
      <c r="U142"/>
      <c r="V142"/>
      <c r="W142"/>
      <c r="X142"/>
      <c r="Y142"/>
      <c r="Z142"/>
      <c r="AA142"/>
      <c r="AB142"/>
      <c r="AC142"/>
      <c r="AD142"/>
      <c r="AE142"/>
      <c r="AF142"/>
      <c r="AG142"/>
      <c r="AH142"/>
      <c r="AI142"/>
      <c r="AJ142"/>
      <c r="AK142"/>
      <c r="AL142"/>
      <c r="AM142"/>
      <c r="AN142"/>
    </row>
    <row r="143" spans="1:40">
      <c r="A143"/>
      <c r="B143"/>
      <c r="C143"/>
      <c r="D143"/>
      <c r="E143"/>
      <c r="F143"/>
      <c r="G143"/>
      <c r="H143"/>
      <c r="I143"/>
      <c r="J143"/>
      <c r="K143"/>
      <c r="L143"/>
      <c r="M143"/>
      <c r="N143"/>
      <c r="O143"/>
      <c r="P143"/>
      <c r="Q143"/>
      <c r="R143"/>
      <c r="S143"/>
      <c r="T143"/>
      <c r="U143"/>
      <c r="V143"/>
      <c r="W143"/>
      <c r="X143"/>
      <c r="Y143"/>
      <c r="Z143"/>
      <c r="AA143"/>
      <c r="AB143"/>
      <c r="AC143"/>
      <c r="AD143"/>
      <c r="AE143"/>
      <c r="AF143"/>
      <c r="AG143"/>
      <c r="AH143"/>
      <c r="AI143"/>
      <c r="AJ143"/>
      <c r="AK143"/>
      <c r="AL143"/>
      <c r="AM143"/>
      <c r="AN143"/>
    </row>
    <row r="144" spans="1:40">
      <c r="A144"/>
      <c r="B144"/>
      <c r="C144"/>
      <c r="D144"/>
      <c r="E144"/>
      <c r="F144"/>
      <c r="G144"/>
      <c r="H144"/>
      <c r="I144"/>
      <c r="J144"/>
      <c r="K144"/>
      <c r="L144"/>
      <c r="M144"/>
      <c r="N144"/>
      <c r="O144"/>
      <c r="P144"/>
      <c r="Q144"/>
      <c r="R144"/>
      <c r="S144"/>
      <c r="T144"/>
      <c r="U144"/>
      <c r="V144"/>
      <c r="W144"/>
      <c r="X144"/>
      <c r="Y144"/>
      <c r="Z144"/>
      <c r="AA144"/>
      <c r="AB144"/>
      <c r="AC144"/>
      <c r="AD144"/>
      <c r="AE144"/>
      <c r="AF144"/>
      <c r="AG144"/>
      <c r="AH144"/>
      <c r="AI144"/>
      <c r="AJ144"/>
      <c r="AK144"/>
      <c r="AL144"/>
      <c r="AM144"/>
      <c r="AN144"/>
    </row>
    <row r="145" spans="1:40">
      <c r="A145"/>
      <c r="B145"/>
      <c r="C145"/>
      <c r="D145"/>
      <c r="E145"/>
      <c r="F145"/>
      <c r="G145"/>
      <c r="H145"/>
      <c r="I145"/>
      <c r="J145"/>
      <c r="K145"/>
      <c r="L145"/>
      <c r="M145"/>
      <c r="N145"/>
      <c r="O145"/>
      <c r="P145"/>
      <c r="Q145"/>
      <c r="R145"/>
      <c r="S145"/>
      <c r="T145"/>
      <c r="U145"/>
      <c r="V145"/>
      <c r="W145"/>
      <c r="X145"/>
      <c r="Y145"/>
      <c r="Z145"/>
      <c r="AA145"/>
      <c r="AB145"/>
      <c r="AC145"/>
      <c r="AD145"/>
      <c r="AE145"/>
      <c r="AF145"/>
      <c r="AG145"/>
      <c r="AH145"/>
      <c r="AI145"/>
      <c r="AJ145"/>
      <c r="AK145"/>
      <c r="AL145"/>
      <c r="AM145"/>
      <c r="AN145"/>
    </row>
    <row r="146" spans="1:40">
      <c r="A146"/>
      <c r="B146"/>
      <c r="C146"/>
      <c r="D146"/>
      <c r="E146"/>
      <c r="F146"/>
      <c r="G146"/>
      <c r="H146"/>
      <c r="I146"/>
      <c r="J146"/>
      <c r="K146"/>
      <c r="L146"/>
      <c r="M146"/>
      <c r="N146"/>
      <c r="O146"/>
      <c r="P146"/>
      <c r="Q146"/>
      <c r="R146"/>
      <c r="S146"/>
      <c r="T146"/>
      <c r="U146"/>
      <c r="V146"/>
      <c r="W146"/>
      <c r="X146"/>
      <c r="Y146"/>
      <c r="Z146"/>
      <c r="AA146"/>
      <c r="AB146"/>
      <c r="AC146"/>
      <c r="AD146"/>
      <c r="AE146"/>
      <c r="AF146"/>
      <c r="AG146"/>
      <c r="AH146"/>
      <c r="AI146"/>
      <c r="AJ146"/>
      <c r="AK146"/>
      <c r="AL146"/>
      <c r="AM146"/>
      <c r="AN146"/>
    </row>
    <row r="147" spans="1:40">
      <c r="A147"/>
      <c r="B147"/>
      <c r="C147"/>
      <c r="D147"/>
      <c r="E147"/>
      <c r="F147"/>
      <c r="G147"/>
      <c r="H147"/>
      <c r="I147"/>
      <c r="J147"/>
      <c r="K147"/>
      <c r="L147"/>
      <c r="M147"/>
      <c r="N147"/>
      <c r="O147"/>
      <c r="P147"/>
      <c r="Q147"/>
      <c r="R147"/>
      <c r="S147"/>
      <c r="T147"/>
      <c r="U147"/>
      <c r="V147"/>
      <c r="W147"/>
      <c r="X147"/>
      <c r="Y147"/>
      <c r="Z147"/>
      <c r="AA147"/>
      <c r="AB147"/>
      <c r="AC147"/>
      <c r="AD147"/>
      <c r="AE147"/>
      <c r="AF147"/>
      <c r="AG147"/>
      <c r="AH147"/>
      <c r="AI147"/>
      <c r="AJ147"/>
      <c r="AK147"/>
      <c r="AL147"/>
      <c r="AM147"/>
      <c r="AN147"/>
    </row>
    <row r="148" spans="1:40">
      <c r="A148"/>
      <c r="B148"/>
      <c r="C148"/>
      <c r="D148"/>
      <c r="E148"/>
      <c r="F148"/>
      <c r="G148"/>
      <c r="H148"/>
      <c r="I148"/>
      <c r="J148"/>
      <c r="K148"/>
      <c r="L148"/>
      <c r="M148"/>
      <c r="N148"/>
      <c r="O148"/>
      <c r="P148"/>
      <c r="Q148"/>
      <c r="R148"/>
      <c r="S148"/>
      <c r="T148"/>
      <c r="U148"/>
      <c r="V148"/>
      <c r="W148"/>
      <c r="X148"/>
      <c r="Y148"/>
      <c r="Z148"/>
      <c r="AA148"/>
      <c r="AB148"/>
      <c r="AC148"/>
      <c r="AD148"/>
      <c r="AE148"/>
      <c r="AF148"/>
      <c r="AG148"/>
      <c r="AH148"/>
      <c r="AI148"/>
      <c r="AJ148"/>
      <c r="AK148"/>
      <c r="AL148"/>
      <c r="AM148"/>
      <c r="AN148"/>
    </row>
    <row r="149" spans="1:40">
      <c r="A149"/>
      <c r="B149"/>
      <c r="C149"/>
      <c r="D149"/>
      <c r="E149"/>
      <c r="F149"/>
      <c r="G149"/>
      <c r="H149"/>
      <c r="I149"/>
      <c r="J149"/>
      <c r="K149"/>
      <c r="L149"/>
      <c r="M149"/>
      <c r="N149"/>
      <c r="O149"/>
      <c r="P149"/>
      <c r="Q149"/>
      <c r="R149"/>
      <c r="S149"/>
      <c r="T149"/>
      <c r="U149"/>
      <c r="V149"/>
      <c r="W149"/>
      <c r="X149"/>
      <c r="Y149"/>
      <c r="Z149"/>
      <c r="AA149"/>
      <c r="AB149"/>
      <c r="AC149"/>
      <c r="AD149"/>
      <c r="AE149"/>
      <c r="AF149"/>
      <c r="AG149"/>
      <c r="AH149"/>
      <c r="AI149"/>
      <c r="AJ149"/>
      <c r="AK149"/>
      <c r="AL149"/>
      <c r="AM149"/>
      <c r="AN149"/>
    </row>
    <row r="150" spans="1:40">
      <c r="A150"/>
      <c r="B150"/>
      <c r="C150"/>
      <c r="D150"/>
      <c r="E150"/>
      <c r="F150"/>
      <c r="G150"/>
      <c r="H150"/>
      <c r="I150"/>
      <c r="J150"/>
      <c r="K150"/>
      <c r="L150"/>
      <c r="M150"/>
      <c r="N150"/>
      <c r="O150"/>
      <c r="P150"/>
      <c r="Q150"/>
      <c r="R150"/>
      <c r="S150"/>
      <c r="T150"/>
      <c r="U150"/>
      <c r="V150"/>
      <c r="W150"/>
      <c r="X150"/>
      <c r="Y150"/>
      <c r="Z150"/>
      <c r="AA150"/>
      <c r="AB150"/>
      <c r="AC150"/>
      <c r="AD150"/>
      <c r="AE150"/>
      <c r="AF150"/>
      <c r="AG150"/>
      <c r="AH150"/>
      <c r="AI150"/>
      <c r="AJ150"/>
      <c r="AK150"/>
      <c r="AL150"/>
      <c r="AM150"/>
      <c r="AN150"/>
    </row>
    <row r="151" spans="1:40">
      <c r="A151"/>
      <c r="B151"/>
      <c r="C151"/>
      <c r="D151"/>
      <c r="E151"/>
      <c r="F151"/>
      <c r="G151"/>
      <c r="H151"/>
      <c r="I151"/>
      <c r="J151"/>
      <c r="K151"/>
      <c r="L151"/>
      <c r="M151"/>
      <c r="N151"/>
      <c r="O151"/>
      <c r="P151"/>
      <c r="Q151"/>
      <c r="R151"/>
      <c r="S151"/>
      <c r="T151"/>
      <c r="U151"/>
      <c r="V151"/>
      <c r="W151"/>
      <c r="X151"/>
      <c r="Y151"/>
      <c r="Z151"/>
      <c r="AA151"/>
      <c r="AB151"/>
      <c r="AC151"/>
      <c r="AD151"/>
      <c r="AE151"/>
      <c r="AF151"/>
      <c r="AG151"/>
      <c r="AH151"/>
      <c r="AI151"/>
      <c r="AJ151"/>
      <c r="AK151"/>
      <c r="AL151"/>
      <c r="AM151"/>
      <c r="AN151"/>
    </row>
    <row r="152" spans="1:40">
      <c r="B152"/>
      <c r="C152"/>
      <c r="D152"/>
      <c r="E152"/>
      <c r="F152"/>
      <c r="G152"/>
      <c r="H152"/>
      <c r="I152"/>
      <c r="J152"/>
      <c r="K152"/>
      <c r="L152"/>
      <c r="M152"/>
      <c r="N152"/>
      <c r="O152"/>
      <c r="P152"/>
      <c r="Q152"/>
      <c r="R152"/>
      <c r="S152"/>
      <c r="T152"/>
      <c r="U152"/>
      <c r="V152"/>
      <c r="W152"/>
      <c r="X152"/>
      <c r="Y152"/>
      <c r="Z152"/>
      <c r="AA152"/>
      <c r="AB152"/>
      <c r="AC152"/>
      <c r="AD152"/>
      <c r="AE152"/>
      <c r="AF152"/>
      <c r="AG152"/>
      <c r="AH152"/>
      <c r="AI152"/>
      <c r="AJ152"/>
      <c r="AK152"/>
      <c r="AL152"/>
      <c r="AM152"/>
      <c r="AN152"/>
    </row>
    <row r="153" spans="1:40">
      <c r="B153"/>
      <c r="C153"/>
      <c r="D153"/>
      <c r="E153"/>
      <c r="F153"/>
      <c r="G153"/>
      <c r="H153"/>
      <c r="I153"/>
      <c r="J153"/>
      <c r="K153"/>
      <c r="L153"/>
      <c r="M153"/>
      <c r="N153"/>
      <c r="O153"/>
      <c r="P153"/>
      <c r="Q153"/>
      <c r="R153"/>
      <c r="S153"/>
      <c r="T153"/>
      <c r="U153"/>
      <c r="V153"/>
      <c r="W153"/>
      <c r="X153"/>
      <c r="Y153"/>
      <c r="Z153"/>
      <c r="AA153"/>
      <c r="AB153"/>
      <c r="AC153"/>
      <c r="AD153"/>
      <c r="AE153"/>
      <c r="AF153"/>
      <c r="AG153"/>
      <c r="AH153"/>
      <c r="AI153"/>
      <c r="AJ153"/>
      <c r="AK153"/>
      <c r="AL153"/>
      <c r="AM153"/>
      <c r="AN153"/>
    </row>
    <row r="154" spans="1:40">
      <c r="B154"/>
      <c r="C154"/>
      <c r="D154"/>
      <c r="E154"/>
      <c r="F154"/>
      <c r="G154"/>
      <c r="H154"/>
      <c r="I154"/>
      <c r="J154"/>
      <c r="K154"/>
      <c r="L154"/>
      <c r="M154"/>
      <c r="N154"/>
      <c r="O154"/>
      <c r="P154"/>
      <c r="Q154"/>
      <c r="R154"/>
      <c r="S154"/>
      <c r="T154"/>
      <c r="U154"/>
      <c r="V154"/>
      <c r="W154"/>
      <c r="X154"/>
      <c r="Y154"/>
      <c r="Z154"/>
      <c r="AA154"/>
      <c r="AB154"/>
      <c r="AC154"/>
      <c r="AD154"/>
      <c r="AE154"/>
      <c r="AF154"/>
      <c r="AG154"/>
      <c r="AH154"/>
      <c r="AI154"/>
      <c r="AJ154"/>
      <c r="AK154"/>
      <c r="AL154"/>
      <c r="AM154"/>
      <c r="AN154"/>
    </row>
    <row r="155" spans="1:40">
      <c r="B155"/>
      <c r="C155"/>
      <c r="D155"/>
      <c r="E155"/>
      <c r="F155"/>
      <c r="G155"/>
      <c r="H155"/>
      <c r="I155"/>
      <c r="J155"/>
      <c r="K155"/>
      <c r="L155"/>
      <c r="M155"/>
      <c r="N155"/>
      <c r="O155"/>
      <c r="P155"/>
      <c r="Q155"/>
      <c r="R155"/>
      <c r="S155"/>
      <c r="T155"/>
      <c r="U155"/>
      <c r="V155"/>
      <c r="W155"/>
      <c r="X155"/>
      <c r="Y155"/>
      <c r="Z155"/>
      <c r="AA155"/>
      <c r="AB155"/>
      <c r="AC155"/>
      <c r="AD155"/>
      <c r="AE155"/>
      <c r="AF155"/>
      <c r="AG155"/>
      <c r="AH155"/>
      <c r="AI155"/>
      <c r="AJ155"/>
      <c r="AK155"/>
      <c r="AL155"/>
      <c r="AM155"/>
      <c r="AN155"/>
    </row>
    <row r="156" spans="1:40">
      <c r="B156"/>
      <c r="C156"/>
      <c r="D156"/>
      <c r="E156"/>
      <c r="F156"/>
      <c r="G156"/>
      <c r="H156"/>
      <c r="I156"/>
      <c r="J156"/>
      <c r="K156"/>
      <c r="L156"/>
      <c r="M156"/>
      <c r="N156"/>
      <c r="O156"/>
      <c r="P156"/>
      <c r="Q156"/>
      <c r="R156"/>
      <c r="S156"/>
      <c r="T156"/>
      <c r="U156"/>
      <c r="V156"/>
      <c r="W156"/>
      <c r="X156"/>
      <c r="Y156"/>
      <c r="Z156"/>
      <c r="AA156"/>
      <c r="AB156"/>
      <c r="AC156"/>
      <c r="AD156"/>
      <c r="AE156"/>
      <c r="AF156"/>
      <c r="AG156"/>
      <c r="AH156"/>
      <c r="AI156"/>
      <c r="AJ156"/>
      <c r="AK156"/>
      <c r="AL156"/>
      <c r="AM156"/>
      <c r="AN156"/>
    </row>
    <row r="157" spans="1:40">
      <c r="B157"/>
      <c r="C157"/>
      <c r="D157"/>
      <c r="E157"/>
      <c r="F157"/>
      <c r="G157"/>
      <c r="H157"/>
      <c r="I157"/>
      <c r="J157"/>
      <c r="K157"/>
      <c r="L157"/>
      <c r="M157"/>
      <c r="N157"/>
      <c r="O157"/>
      <c r="P157"/>
      <c r="Q157"/>
      <c r="R157"/>
      <c r="S157"/>
      <c r="T157"/>
      <c r="U157"/>
      <c r="V157"/>
      <c r="W157"/>
      <c r="X157"/>
      <c r="Y157"/>
      <c r="Z157"/>
      <c r="AA157"/>
      <c r="AB157"/>
      <c r="AC157"/>
      <c r="AD157"/>
      <c r="AE157"/>
      <c r="AF157"/>
      <c r="AG157"/>
      <c r="AH157"/>
      <c r="AI157"/>
      <c r="AJ157"/>
      <c r="AK157"/>
      <c r="AL157"/>
      <c r="AM157"/>
      <c r="AN157"/>
    </row>
    <row r="158" spans="1:40">
      <c r="B158"/>
      <c r="C158"/>
      <c r="D158"/>
      <c r="E158"/>
      <c r="F158"/>
      <c r="G158"/>
      <c r="H158"/>
      <c r="I158"/>
      <c r="J158"/>
      <c r="K158"/>
      <c r="L158"/>
      <c r="M158"/>
      <c r="N158"/>
      <c r="O158"/>
      <c r="P158"/>
      <c r="Q158"/>
      <c r="R158"/>
      <c r="S158"/>
      <c r="T158"/>
      <c r="U158"/>
      <c r="V158"/>
      <c r="W158"/>
      <c r="X158"/>
      <c r="Y158"/>
      <c r="Z158"/>
      <c r="AA158"/>
      <c r="AB158"/>
      <c r="AC158"/>
      <c r="AD158"/>
      <c r="AE158"/>
      <c r="AF158"/>
      <c r="AG158"/>
      <c r="AH158"/>
      <c r="AI158"/>
      <c r="AJ158"/>
      <c r="AK158"/>
      <c r="AL158"/>
      <c r="AM158"/>
      <c r="AN158"/>
    </row>
    <row r="159" spans="1:40">
      <c r="B159"/>
      <c r="C159"/>
      <c r="D159"/>
      <c r="E159"/>
      <c r="F159"/>
      <c r="G159"/>
      <c r="H159"/>
      <c r="I159"/>
      <c r="J159"/>
      <c r="K159"/>
      <c r="L159"/>
      <c r="M159"/>
      <c r="N159"/>
      <c r="O159"/>
      <c r="P159"/>
      <c r="Q159"/>
      <c r="R159"/>
      <c r="S159"/>
      <c r="T159"/>
      <c r="U159"/>
      <c r="V159"/>
      <c r="W159"/>
      <c r="X159"/>
      <c r="Y159"/>
      <c r="Z159"/>
      <c r="AA159"/>
      <c r="AB159"/>
      <c r="AC159"/>
      <c r="AD159"/>
      <c r="AE159"/>
      <c r="AF159"/>
      <c r="AG159"/>
      <c r="AH159"/>
      <c r="AI159"/>
      <c r="AJ159"/>
      <c r="AK159"/>
      <c r="AL159"/>
      <c r="AM159"/>
      <c r="AN159"/>
    </row>
    <row r="160" spans="1:40">
      <c r="B160"/>
      <c r="C160"/>
      <c r="D160"/>
      <c r="E160"/>
      <c r="F160"/>
      <c r="G160"/>
      <c r="H160"/>
      <c r="I160"/>
      <c r="J160"/>
      <c r="K160"/>
      <c r="L160"/>
      <c r="M160"/>
      <c r="N160"/>
      <c r="O160"/>
      <c r="P160"/>
      <c r="Q160"/>
      <c r="R160"/>
      <c r="S160"/>
      <c r="T160"/>
      <c r="U160"/>
      <c r="V160"/>
      <c r="W160"/>
      <c r="X160"/>
      <c r="Y160"/>
      <c r="Z160"/>
      <c r="AA160"/>
      <c r="AB160"/>
      <c r="AC160"/>
      <c r="AD160"/>
      <c r="AE160"/>
      <c r="AF160"/>
      <c r="AG160"/>
      <c r="AH160"/>
      <c r="AI160"/>
      <c r="AJ160"/>
      <c r="AK160"/>
      <c r="AL160"/>
      <c r="AM160"/>
      <c r="AN160"/>
    </row>
    <row r="161" spans="2:40">
      <c r="B161"/>
      <c r="C161"/>
      <c r="D161"/>
      <c r="E161"/>
      <c r="F161"/>
      <c r="G161"/>
      <c r="H161"/>
      <c r="I161"/>
      <c r="J161"/>
      <c r="K161"/>
      <c r="L161"/>
      <c r="M161"/>
      <c r="N161"/>
      <c r="O161"/>
      <c r="P161"/>
      <c r="Q161"/>
      <c r="R161"/>
      <c r="S161"/>
      <c r="T161"/>
      <c r="U161"/>
      <c r="V161"/>
      <c r="W161"/>
      <c r="X161"/>
      <c r="Y161"/>
      <c r="Z161"/>
      <c r="AA161"/>
      <c r="AB161"/>
      <c r="AC161"/>
      <c r="AD161"/>
      <c r="AE161"/>
      <c r="AF161"/>
      <c r="AG161"/>
      <c r="AH161"/>
      <c r="AI161"/>
      <c r="AJ161"/>
      <c r="AK161"/>
      <c r="AL161"/>
      <c r="AM161"/>
      <c r="AN161"/>
    </row>
    <row r="162" spans="2:40">
      <c r="B162"/>
      <c r="C162"/>
      <c r="D162"/>
      <c r="E162"/>
      <c r="F162"/>
      <c r="G162"/>
      <c r="H162"/>
      <c r="I162"/>
      <c r="J162"/>
      <c r="K162"/>
      <c r="L162"/>
      <c r="M162"/>
      <c r="N162"/>
      <c r="O162"/>
      <c r="P162"/>
      <c r="Q162"/>
      <c r="R162"/>
      <c r="S162"/>
      <c r="T162"/>
      <c r="U162"/>
      <c r="V162"/>
      <c r="W162"/>
      <c r="X162"/>
      <c r="Y162"/>
      <c r="Z162"/>
      <c r="AA162"/>
      <c r="AB162"/>
      <c r="AC162"/>
      <c r="AD162"/>
      <c r="AE162"/>
      <c r="AF162"/>
      <c r="AG162"/>
      <c r="AH162"/>
      <c r="AI162"/>
      <c r="AJ162"/>
      <c r="AK162"/>
      <c r="AL162"/>
      <c r="AM162"/>
      <c r="AN162"/>
    </row>
    <row r="163" spans="2:40">
      <c r="B163"/>
      <c r="C163"/>
      <c r="D163"/>
      <c r="E163"/>
      <c r="F163"/>
      <c r="G163"/>
      <c r="H163"/>
      <c r="I163"/>
      <c r="J163"/>
      <c r="K163"/>
      <c r="L163"/>
      <c r="M163"/>
      <c r="N163"/>
      <c r="O163"/>
      <c r="P163"/>
      <c r="Q163"/>
      <c r="R163"/>
      <c r="S163"/>
      <c r="T163"/>
      <c r="U163"/>
      <c r="V163"/>
      <c r="W163"/>
      <c r="X163"/>
      <c r="Y163"/>
      <c r="Z163"/>
      <c r="AA163"/>
      <c r="AB163"/>
      <c r="AC163"/>
      <c r="AD163"/>
      <c r="AE163"/>
      <c r="AF163"/>
      <c r="AG163"/>
      <c r="AH163"/>
      <c r="AI163"/>
      <c r="AJ163"/>
      <c r="AK163"/>
      <c r="AL163"/>
      <c r="AM163"/>
      <c r="AN163"/>
    </row>
    <row r="164" spans="2:40">
      <c r="B164"/>
      <c r="C164"/>
      <c r="D164"/>
      <c r="E164"/>
      <c r="F164"/>
      <c r="G164"/>
      <c r="H164"/>
      <c r="I164"/>
      <c r="J164"/>
      <c r="K164"/>
      <c r="L164"/>
      <c r="M164"/>
      <c r="N164"/>
      <c r="O164"/>
      <c r="P164"/>
      <c r="Q164"/>
      <c r="R164"/>
      <c r="S164"/>
      <c r="T164"/>
      <c r="U164"/>
      <c r="V164"/>
      <c r="W164"/>
      <c r="X164"/>
      <c r="Y164"/>
      <c r="Z164"/>
      <c r="AA164"/>
      <c r="AB164"/>
      <c r="AC164"/>
      <c r="AD164"/>
      <c r="AE164"/>
      <c r="AF164"/>
      <c r="AG164"/>
      <c r="AH164"/>
      <c r="AI164"/>
      <c r="AJ164"/>
      <c r="AK164"/>
      <c r="AL164"/>
      <c r="AM164"/>
      <c r="AN164"/>
    </row>
    <row r="165" spans="2:40">
      <c r="B165"/>
      <c r="C165"/>
      <c r="D165"/>
      <c r="E165"/>
      <c r="F165"/>
      <c r="G165"/>
      <c r="H165"/>
      <c r="I165"/>
      <c r="J165"/>
      <c r="K165"/>
      <c r="L165"/>
      <c r="M165"/>
      <c r="N165"/>
      <c r="O165"/>
      <c r="P165"/>
      <c r="Q165"/>
      <c r="R165"/>
      <c r="S165"/>
      <c r="T165"/>
      <c r="U165"/>
      <c r="V165"/>
      <c r="W165"/>
      <c r="X165"/>
      <c r="Y165"/>
      <c r="Z165"/>
      <c r="AA165"/>
      <c r="AB165"/>
      <c r="AC165"/>
      <c r="AD165"/>
      <c r="AE165"/>
      <c r="AF165"/>
      <c r="AG165"/>
      <c r="AH165"/>
      <c r="AI165"/>
      <c r="AJ165"/>
      <c r="AK165"/>
      <c r="AL165"/>
      <c r="AM165"/>
      <c r="AN165"/>
    </row>
    <row r="166" spans="2:40">
      <c r="B166"/>
      <c r="C166"/>
      <c r="D166"/>
      <c r="E166"/>
      <c r="F166"/>
      <c r="G166"/>
      <c r="H166"/>
      <c r="I166"/>
      <c r="J166"/>
      <c r="K166"/>
      <c r="L166"/>
      <c r="M166"/>
      <c r="N166"/>
      <c r="O166"/>
      <c r="P166"/>
      <c r="Q166"/>
      <c r="R166"/>
      <c r="S166"/>
      <c r="T166"/>
      <c r="U166"/>
      <c r="V166"/>
      <c r="W166"/>
      <c r="X166"/>
      <c r="Y166"/>
      <c r="Z166"/>
      <c r="AA166"/>
      <c r="AB166"/>
      <c r="AC166"/>
      <c r="AD166"/>
      <c r="AE166"/>
      <c r="AF166"/>
      <c r="AG166"/>
      <c r="AH166"/>
      <c r="AI166"/>
      <c r="AJ166"/>
      <c r="AK166"/>
      <c r="AL166"/>
      <c r="AM166"/>
      <c r="AN166"/>
    </row>
    <row r="167" spans="2:40">
      <c r="B167"/>
      <c r="C167"/>
      <c r="D167"/>
      <c r="E167"/>
      <c r="F167"/>
      <c r="G167"/>
      <c r="H167"/>
      <c r="I167"/>
      <c r="J167"/>
      <c r="K167"/>
      <c r="L167"/>
      <c r="M167"/>
      <c r="N167"/>
      <c r="O167"/>
      <c r="P167"/>
      <c r="Q167"/>
      <c r="R167"/>
      <c r="S167"/>
      <c r="T167"/>
      <c r="U167"/>
      <c r="V167"/>
      <c r="W167"/>
      <c r="X167"/>
      <c r="Y167"/>
      <c r="Z167"/>
      <c r="AA167"/>
      <c r="AB167"/>
      <c r="AC167"/>
      <c r="AD167"/>
      <c r="AE167"/>
      <c r="AF167"/>
      <c r="AG167"/>
      <c r="AH167"/>
      <c r="AI167"/>
      <c r="AJ167"/>
      <c r="AK167"/>
      <c r="AL167"/>
      <c r="AM167"/>
      <c r="AN167"/>
    </row>
    <row r="168" spans="2:40">
      <c r="B168"/>
      <c r="C168"/>
      <c r="D168"/>
      <c r="E168"/>
      <c r="F168"/>
      <c r="G168"/>
      <c r="H168"/>
      <c r="I168"/>
      <c r="J168"/>
      <c r="K168"/>
      <c r="L168"/>
      <c r="M168"/>
      <c r="N168"/>
      <c r="O168"/>
      <c r="P168"/>
      <c r="Q168"/>
      <c r="R168"/>
      <c r="S168"/>
      <c r="T168"/>
      <c r="U168"/>
      <c r="V168"/>
      <c r="W168"/>
      <c r="X168"/>
      <c r="Y168"/>
      <c r="Z168"/>
      <c r="AA168"/>
      <c r="AB168"/>
      <c r="AC168"/>
      <c r="AD168"/>
      <c r="AE168"/>
      <c r="AF168"/>
      <c r="AG168"/>
      <c r="AH168"/>
      <c r="AI168"/>
      <c r="AJ168"/>
      <c r="AK168"/>
      <c r="AL168"/>
      <c r="AM168"/>
      <c r="AN168"/>
    </row>
    <row r="169" spans="2:40">
      <c r="B169"/>
      <c r="C169"/>
      <c r="D169"/>
      <c r="E169"/>
      <c r="F169"/>
      <c r="G169"/>
      <c r="H169"/>
      <c r="I169"/>
      <c r="J169"/>
      <c r="K169"/>
      <c r="L169"/>
      <c r="M169"/>
      <c r="N169"/>
      <c r="O169"/>
      <c r="P169"/>
      <c r="Q169"/>
      <c r="R169"/>
      <c r="S169"/>
      <c r="T169"/>
      <c r="U169"/>
      <c r="V169"/>
      <c r="W169"/>
      <c r="X169"/>
      <c r="Y169"/>
      <c r="Z169"/>
      <c r="AA169"/>
      <c r="AB169"/>
      <c r="AC169"/>
      <c r="AD169"/>
      <c r="AE169"/>
      <c r="AF169"/>
      <c r="AG169"/>
      <c r="AH169"/>
      <c r="AI169"/>
      <c r="AJ169"/>
      <c r="AK169"/>
      <c r="AL169"/>
      <c r="AM169"/>
      <c r="AN169"/>
    </row>
    <row r="170" spans="2:40">
      <c r="B170"/>
      <c r="C170"/>
      <c r="D170"/>
      <c r="E170"/>
      <c r="F170"/>
      <c r="G170"/>
      <c r="H170"/>
      <c r="I170"/>
      <c r="J170"/>
      <c r="K170"/>
      <c r="L170"/>
      <c r="M170"/>
      <c r="N170"/>
      <c r="O170"/>
      <c r="P170"/>
      <c r="Q170"/>
      <c r="R170"/>
      <c r="S170"/>
      <c r="T170"/>
      <c r="U170"/>
      <c r="V170"/>
      <c r="W170"/>
      <c r="X170"/>
      <c r="Y170"/>
      <c r="Z170"/>
      <c r="AA170"/>
      <c r="AB170"/>
      <c r="AC170"/>
      <c r="AD170"/>
      <c r="AE170"/>
      <c r="AF170"/>
      <c r="AG170"/>
      <c r="AH170"/>
      <c r="AI170"/>
      <c r="AJ170"/>
      <c r="AK170"/>
      <c r="AL170"/>
      <c r="AM170"/>
      <c r="AN170"/>
    </row>
    <row r="171" spans="2:40">
      <c r="B171"/>
      <c r="C171"/>
      <c r="D171"/>
      <c r="E171"/>
      <c r="F171"/>
      <c r="G171"/>
      <c r="H171"/>
      <c r="I171"/>
      <c r="J171"/>
      <c r="K171"/>
      <c r="L171"/>
      <c r="M171"/>
      <c r="N171"/>
      <c r="O171"/>
      <c r="P171"/>
      <c r="Q171"/>
      <c r="R171"/>
      <c r="S171"/>
      <c r="T171"/>
      <c r="U171"/>
      <c r="V171"/>
      <c r="W171"/>
      <c r="X171"/>
      <c r="Y171"/>
      <c r="Z171"/>
      <c r="AA171"/>
      <c r="AB171"/>
      <c r="AC171"/>
      <c r="AD171"/>
      <c r="AE171"/>
      <c r="AF171"/>
      <c r="AG171"/>
      <c r="AH171"/>
      <c r="AI171"/>
      <c r="AJ171"/>
      <c r="AK171"/>
      <c r="AL171"/>
      <c r="AM171"/>
      <c r="AN171"/>
    </row>
    <row r="172" spans="2:40">
      <c r="B172"/>
      <c r="C172"/>
      <c r="D172"/>
      <c r="E172"/>
      <c r="F172"/>
      <c r="G172"/>
      <c r="H172"/>
      <c r="I172"/>
      <c r="J172"/>
      <c r="K172"/>
      <c r="L172"/>
      <c r="M172"/>
      <c r="N172"/>
      <c r="O172"/>
      <c r="P172"/>
      <c r="Q172"/>
      <c r="R172"/>
      <c r="S172"/>
      <c r="T172"/>
      <c r="U172"/>
      <c r="V172"/>
      <c r="W172"/>
      <c r="X172"/>
      <c r="Y172"/>
      <c r="Z172"/>
      <c r="AA172"/>
      <c r="AB172"/>
      <c r="AC172"/>
      <c r="AD172"/>
      <c r="AE172"/>
      <c r="AF172"/>
      <c r="AG172"/>
      <c r="AH172"/>
      <c r="AI172"/>
      <c r="AJ172"/>
      <c r="AK172"/>
      <c r="AL172"/>
      <c r="AM172"/>
      <c r="AN172"/>
    </row>
    <row r="173" spans="2:40">
      <c r="B173"/>
      <c r="C173"/>
      <c r="D173"/>
      <c r="E173"/>
      <c r="F173"/>
      <c r="G173"/>
      <c r="H173"/>
      <c r="I173"/>
      <c r="J173"/>
      <c r="K173"/>
      <c r="L173"/>
      <c r="M173"/>
      <c r="N173"/>
      <c r="O173"/>
      <c r="P173"/>
      <c r="Q173"/>
      <c r="R173"/>
      <c r="S173"/>
      <c r="T173"/>
      <c r="U173"/>
      <c r="V173"/>
      <c r="W173"/>
      <c r="X173"/>
      <c r="Y173"/>
      <c r="Z173"/>
      <c r="AA173"/>
      <c r="AB173"/>
      <c r="AC173"/>
      <c r="AD173"/>
      <c r="AE173"/>
      <c r="AF173"/>
      <c r="AG173"/>
      <c r="AH173"/>
      <c r="AI173"/>
      <c r="AJ173"/>
      <c r="AK173"/>
      <c r="AL173"/>
      <c r="AM173"/>
      <c r="AN173"/>
    </row>
    <row r="174" spans="2:40">
      <c r="B174"/>
      <c r="C174"/>
      <c r="D174"/>
      <c r="E174"/>
      <c r="F174"/>
      <c r="G174"/>
      <c r="H174"/>
      <c r="I174"/>
      <c r="J174"/>
      <c r="K174"/>
      <c r="L174"/>
      <c r="M174"/>
      <c r="N174"/>
      <c r="O174"/>
      <c r="P174"/>
      <c r="Q174"/>
      <c r="R174"/>
      <c r="S174"/>
      <c r="T174"/>
      <c r="U174"/>
      <c r="V174"/>
      <c r="W174"/>
      <c r="X174"/>
      <c r="Y174"/>
      <c r="Z174"/>
      <c r="AA174"/>
      <c r="AB174"/>
      <c r="AC174"/>
      <c r="AD174"/>
      <c r="AE174"/>
      <c r="AF174"/>
      <c r="AG174"/>
      <c r="AH174"/>
      <c r="AI174"/>
      <c r="AJ174"/>
      <c r="AK174"/>
      <c r="AL174"/>
      <c r="AM174"/>
      <c r="AN174"/>
    </row>
    <row r="175" spans="2:40">
      <c r="B175"/>
      <c r="C175"/>
      <c r="D175"/>
      <c r="E175"/>
      <c r="F175"/>
      <c r="G175"/>
      <c r="H175"/>
      <c r="I175"/>
      <c r="J175"/>
      <c r="K175"/>
      <c r="L175"/>
      <c r="M175"/>
      <c r="N175"/>
      <c r="O175"/>
      <c r="P175"/>
      <c r="Q175"/>
      <c r="R175"/>
      <c r="S175"/>
      <c r="T175"/>
      <c r="U175"/>
      <c r="V175"/>
      <c r="W175"/>
      <c r="X175"/>
      <c r="Y175"/>
      <c r="Z175"/>
      <c r="AA175"/>
      <c r="AB175"/>
      <c r="AC175"/>
      <c r="AD175"/>
      <c r="AE175"/>
      <c r="AF175"/>
      <c r="AG175"/>
      <c r="AH175"/>
      <c r="AI175"/>
      <c r="AJ175"/>
      <c r="AK175"/>
      <c r="AL175"/>
      <c r="AM175"/>
      <c r="AN175"/>
    </row>
    <row r="176" spans="2:40">
      <c r="B176"/>
      <c r="C176"/>
      <c r="D176"/>
      <c r="E176"/>
      <c r="F176"/>
      <c r="G176"/>
      <c r="H176"/>
      <c r="I176"/>
      <c r="J176"/>
      <c r="K176"/>
      <c r="L176"/>
      <c r="M176"/>
      <c r="N176"/>
      <c r="O176"/>
      <c r="P176"/>
      <c r="Q176"/>
      <c r="R176"/>
      <c r="S176"/>
      <c r="T176"/>
      <c r="U176"/>
      <c r="V176"/>
      <c r="W176"/>
      <c r="X176"/>
      <c r="Y176"/>
      <c r="Z176"/>
      <c r="AA176"/>
      <c r="AB176"/>
      <c r="AC176"/>
      <c r="AD176"/>
      <c r="AE176"/>
      <c r="AF176"/>
      <c r="AG176"/>
      <c r="AH176"/>
      <c r="AI176"/>
      <c r="AJ176"/>
      <c r="AK176"/>
      <c r="AL176"/>
      <c r="AM176"/>
      <c r="AN176"/>
    </row>
    <row r="177" spans="2:40">
      <c r="B177"/>
      <c r="C177"/>
      <c r="D177"/>
      <c r="E177"/>
      <c r="F177"/>
      <c r="G177"/>
      <c r="H177"/>
      <c r="I177"/>
      <c r="J177"/>
      <c r="K177"/>
      <c r="L177"/>
      <c r="M177"/>
      <c r="N177"/>
      <c r="O177"/>
      <c r="P177"/>
      <c r="Q177"/>
      <c r="R177"/>
      <c r="S177"/>
      <c r="T177"/>
      <c r="U177"/>
      <c r="V177"/>
      <c r="W177"/>
      <c r="X177"/>
      <c r="Y177"/>
      <c r="Z177"/>
      <c r="AA177"/>
      <c r="AB177"/>
      <c r="AC177"/>
      <c r="AD177"/>
      <c r="AE177"/>
      <c r="AF177"/>
      <c r="AG177"/>
      <c r="AH177"/>
      <c r="AI177"/>
      <c r="AJ177"/>
      <c r="AK177"/>
      <c r="AL177"/>
      <c r="AM177"/>
      <c r="AN177"/>
    </row>
    <row r="178" spans="2:40">
      <c r="B178"/>
      <c r="C178"/>
      <c r="D178"/>
      <c r="E178"/>
      <c r="F178"/>
      <c r="G178"/>
      <c r="H178"/>
      <c r="I178"/>
      <c r="J178"/>
      <c r="K178"/>
      <c r="L178"/>
      <c r="M178"/>
      <c r="N178"/>
      <c r="O178"/>
      <c r="P178"/>
      <c r="Q178"/>
      <c r="R178"/>
      <c r="S178"/>
      <c r="T178"/>
      <c r="U178"/>
      <c r="V178"/>
      <c r="W178"/>
      <c r="X178"/>
      <c r="Y178"/>
      <c r="Z178"/>
      <c r="AA178"/>
      <c r="AB178"/>
      <c r="AC178"/>
      <c r="AD178"/>
      <c r="AE178"/>
      <c r="AF178"/>
      <c r="AG178"/>
      <c r="AH178"/>
      <c r="AI178"/>
      <c r="AJ178"/>
      <c r="AK178"/>
      <c r="AL178"/>
      <c r="AM178"/>
      <c r="AN178"/>
    </row>
    <row r="179" spans="2:40">
      <c r="B179"/>
      <c r="C179"/>
      <c r="D179"/>
      <c r="E179"/>
      <c r="F179"/>
      <c r="G179"/>
      <c r="H179"/>
      <c r="I179"/>
      <c r="J179"/>
      <c r="K179"/>
      <c r="L179"/>
      <c r="M179"/>
      <c r="N179"/>
      <c r="O179"/>
      <c r="P179"/>
      <c r="Q179"/>
      <c r="R179"/>
      <c r="S179"/>
      <c r="T179"/>
      <c r="U179"/>
      <c r="V179"/>
      <c r="W179"/>
      <c r="X179"/>
      <c r="Y179"/>
      <c r="Z179"/>
      <c r="AA179"/>
      <c r="AB179"/>
      <c r="AC179"/>
      <c r="AD179"/>
      <c r="AE179"/>
      <c r="AF179"/>
      <c r="AG179"/>
      <c r="AH179"/>
      <c r="AI179"/>
      <c r="AJ179"/>
      <c r="AK179"/>
      <c r="AL179"/>
      <c r="AM179"/>
      <c r="AN179"/>
    </row>
    <row r="180" spans="2:40">
      <c r="B180"/>
      <c r="C180"/>
      <c r="D180"/>
      <c r="E180"/>
      <c r="F180"/>
      <c r="G180"/>
      <c r="H180"/>
      <c r="I180"/>
      <c r="J180"/>
      <c r="K180"/>
      <c r="L180"/>
      <c r="M180"/>
      <c r="N180"/>
      <c r="O180"/>
      <c r="P180"/>
      <c r="Q180"/>
      <c r="R180"/>
      <c r="S180"/>
      <c r="T180"/>
      <c r="U180"/>
      <c r="V180"/>
      <c r="W180"/>
      <c r="X180"/>
      <c r="Y180"/>
      <c r="Z180"/>
      <c r="AA180"/>
      <c r="AB180"/>
      <c r="AC180"/>
      <c r="AD180"/>
      <c r="AE180"/>
      <c r="AF180"/>
      <c r="AG180"/>
      <c r="AH180"/>
      <c r="AI180"/>
      <c r="AJ180"/>
      <c r="AK180"/>
      <c r="AL180"/>
      <c r="AM180"/>
      <c r="AN180"/>
    </row>
    <row r="181" spans="2:40">
      <c r="B181"/>
      <c r="C181"/>
      <c r="D181"/>
      <c r="E181"/>
      <c r="F181"/>
      <c r="G181"/>
      <c r="H181"/>
      <c r="I181"/>
      <c r="J181"/>
      <c r="K181"/>
      <c r="L181"/>
      <c r="M181"/>
      <c r="N181"/>
      <c r="O181"/>
      <c r="P181"/>
      <c r="Q181"/>
      <c r="R181"/>
      <c r="S181"/>
      <c r="T181"/>
      <c r="U181"/>
      <c r="V181"/>
      <c r="W181"/>
      <c r="X181"/>
      <c r="Y181"/>
      <c r="Z181"/>
      <c r="AA181"/>
      <c r="AB181"/>
      <c r="AC181"/>
      <c r="AD181"/>
      <c r="AE181"/>
      <c r="AF181"/>
      <c r="AG181"/>
      <c r="AH181"/>
      <c r="AI181"/>
      <c r="AJ181"/>
      <c r="AK181"/>
      <c r="AL181"/>
      <c r="AM181"/>
      <c r="AN181"/>
    </row>
    <row r="182" spans="2:40">
      <c r="B182"/>
      <c r="C182"/>
      <c r="D182"/>
      <c r="E182"/>
      <c r="F182"/>
      <c r="G182"/>
      <c r="H182"/>
      <c r="I182"/>
      <c r="J182"/>
      <c r="K182"/>
      <c r="L182"/>
      <c r="M182"/>
      <c r="N182"/>
      <c r="O182"/>
      <c r="P182"/>
      <c r="Q182"/>
      <c r="R182"/>
      <c r="S182"/>
      <c r="T182"/>
      <c r="U182"/>
      <c r="V182"/>
      <c r="W182"/>
      <c r="X182"/>
      <c r="Y182"/>
      <c r="Z182"/>
      <c r="AA182"/>
      <c r="AB182"/>
      <c r="AC182"/>
      <c r="AD182"/>
      <c r="AE182"/>
      <c r="AF182"/>
      <c r="AG182"/>
      <c r="AH182"/>
      <c r="AI182"/>
      <c r="AJ182"/>
      <c r="AK182"/>
      <c r="AL182"/>
      <c r="AM182"/>
      <c r="AN182"/>
    </row>
    <row r="183" spans="2:40">
      <c r="B183"/>
      <c r="C183"/>
      <c r="D183"/>
      <c r="E183"/>
      <c r="F183"/>
      <c r="G183"/>
      <c r="H183"/>
      <c r="I183"/>
      <c r="J183"/>
      <c r="K183"/>
      <c r="L183"/>
      <c r="M183"/>
      <c r="N183"/>
      <c r="O183"/>
      <c r="P183"/>
      <c r="Q183"/>
      <c r="R183"/>
      <c r="S183"/>
      <c r="T183"/>
      <c r="U183"/>
      <c r="V183"/>
      <c r="W183"/>
      <c r="X183"/>
      <c r="Y183"/>
      <c r="Z183"/>
      <c r="AA183"/>
      <c r="AB183"/>
      <c r="AC183"/>
      <c r="AD183"/>
      <c r="AE183"/>
      <c r="AF183"/>
      <c r="AG183"/>
      <c r="AH183"/>
      <c r="AI183"/>
      <c r="AJ183"/>
      <c r="AK183"/>
      <c r="AL183"/>
      <c r="AM183"/>
      <c r="AN183"/>
    </row>
    <row r="184" spans="2:40">
      <c r="B184"/>
      <c r="C184"/>
      <c r="D184"/>
      <c r="E184"/>
      <c r="F184"/>
      <c r="G184"/>
      <c r="H184"/>
      <c r="I184"/>
      <c r="J184"/>
      <c r="K184"/>
      <c r="L184"/>
      <c r="M184"/>
      <c r="N184"/>
      <c r="O184"/>
      <c r="P184"/>
      <c r="Q184"/>
      <c r="R184"/>
      <c r="S184"/>
      <c r="T184"/>
      <c r="U184"/>
      <c r="V184"/>
      <c r="W184"/>
      <c r="X184"/>
      <c r="Y184"/>
      <c r="Z184"/>
      <c r="AA184"/>
      <c r="AB184"/>
      <c r="AC184"/>
      <c r="AD184"/>
      <c r="AE184"/>
      <c r="AF184"/>
      <c r="AG184"/>
      <c r="AH184"/>
      <c r="AI184"/>
      <c r="AJ184"/>
      <c r="AK184"/>
      <c r="AL184"/>
      <c r="AM184"/>
      <c r="AN184"/>
    </row>
    <row r="185" spans="2:40">
      <c r="B185"/>
      <c r="C185"/>
      <c r="D185"/>
      <c r="E185"/>
      <c r="F185"/>
      <c r="G185"/>
      <c r="H185"/>
      <c r="I185"/>
      <c r="J185"/>
      <c r="K185"/>
      <c r="L185"/>
      <c r="M185"/>
      <c r="N185"/>
      <c r="O185"/>
      <c r="P185"/>
      <c r="Q185"/>
      <c r="R185"/>
      <c r="S185"/>
      <c r="T185"/>
      <c r="U185"/>
      <c r="V185"/>
      <c r="W185"/>
      <c r="X185"/>
      <c r="Y185"/>
      <c r="Z185"/>
      <c r="AA185"/>
      <c r="AB185"/>
      <c r="AC185"/>
      <c r="AD185"/>
      <c r="AE185"/>
      <c r="AF185"/>
      <c r="AG185"/>
      <c r="AH185"/>
      <c r="AI185"/>
      <c r="AJ185"/>
      <c r="AK185"/>
      <c r="AL185"/>
      <c r="AM185"/>
      <c r="AN185"/>
    </row>
    <row r="186" spans="2:40">
      <c r="B186"/>
      <c r="C186"/>
      <c r="D186"/>
      <c r="E186"/>
      <c r="F186"/>
      <c r="G186"/>
      <c r="H186"/>
      <c r="I186"/>
      <c r="J186"/>
      <c r="K186"/>
      <c r="L186"/>
      <c r="M186"/>
      <c r="N186"/>
      <c r="O186"/>
      <c r="P186"/>
      <c r="Q186"/>
      <c r="R186"/>
      <c r="S186"/>
      <c r="T186"/>
      <c r="U186"/>
      <c r="V186"/>
      <c r="W186"/>
      <c r="X186"/>
      <c r="Y186"/>
      <c r="Z186"/>
      <c r="AA186"/>
      <c r="AB186"/>
      <c r="AC186"/>
      <c r="AD186"/>
      <c r="AE186"/>
      <c r="AF186"/>
      <c r="AG186"/>
      <c r="AH186"/>
      <c r="AI186"/>
      <c r="AJ186"/>
      <c r="AK186"/>
      <c r="AL186"/>
      <c r="AM186"/>
      <c r="AN186"/>
    </row>
  </sheetData>
  <sheetProtection algorithmName="SHA-512" hashValue="9rk0h5Db0n8SnE4slM/lfzS54oIS3dsuTGgjwmtaVbgRTq9+v0KKVeyoTPlavJ9fgvOU7w6y9zTUvWzbQmzeRg==" saltValue="/eZwK2HtInHZ1RbG45dgOQ==" spinCount="100000" sheet="1" scenarios="1" formatCells="0" formatColumns="0" formatRows="0" insertColumns="0" insertRows="0" deleteColumns="0" deleteRows="0" selectLockedCells="1"/>
  <mergeCells count="138">
    <mergeCell ref="A2:AH4"/>
    <mergeCell ref="D14:Q14"/>
    <mergeCell ref="U14:AN14"/>
    <mergeCell ref="H5:J5"/>
    <mergeCell ref="Y5:AA5"/>
    <mergeCell ref="AF5:AH5"/>
    <mergeCell ref="AI5:AM5"/>
    <mergeCell ref="AB5:AE5"/>
    <mergeCell ref="D17:Q17"/>
    <mergeCell ref="U17:AN17"/>
    <mergeCell ref="D20:Q20"/>
    <mergeCell ref="U20:AN20"/>
    <mergeCell ref="D7:Q7"/>
    <mergeCell ref="U7:AN7"/>
    <mergeCell ref="D8:Q8"/>
    <mergeCell ref="U8:AN8"/>
    <mergeCell ref="D11:Q11"/>
    <mergeCell ref="U11:AN11"/>
    <mergeCell ref="A32:J32"/>
    <mergeCell ref="K32:Q32"/>
    <mergeCell ref="R32:X32"/>
    <mergeCell ref="Y32:AN32"/>
    <mergeCell ref="A33:H33"/>
    <mergeCell ref="I33:Q33"/>
    <mergeCell ref="R33:X33"/>
    <mergeCell ref="Y33:AN33"/>
    <mergeCell ref="D23:Q23"/>
    <mergeCell ref="U23:AN23"/>
    <mergeCell ref="D26:Q26"/>
    <mergeCell ref="U26:AN26"/>
    <mergeCell ref="D29:Q29"/>
    <mergeCell ref="V29:AN29"/>
    <mergeCell ref="AH34:AJ34"/>
    <mergeCell ref="AK34:AN34"/>
    <mergeCell ref="A35:F35"/>
    <mergeCell ref="G35:Q35"/>
    <mergeCell ref="R35:X35"/>
    <mergeCell ref="Y35:AN35"/>
    <mergeCell ref="A34:F34"/>
    <mergeCell ref="G34:K34"/>
    <mergeCell ref="L34:M34"/>
    <mergeCell ref="N34:Q34"/>
    <mergeCell ref="R34:X34"/>
    <mergeCell ref="Y34:AG34"/>
    <mergeCell ref="A38:F38"/>
    <mergeCell ref="G38:Q38"/>
    <mergeCell ref="R38:X38"/>
    <mergeCell ref="Y38:AN38"/>
    <mergeCell ref="B39:H39"/>
    <mergeCell ref="I39:AN39"/>
    <mergeCell ref="A36:F36"/>
    <mergeCell ref="G36:Q36"/>
    <mergeCell ref="R36:X36"/>
    <mergeCell ref="Y36:AN36"/>
    <mergeCell ref="A37:G37"/>
    <mergeCell ref="H37:Q37"/>
    <mergeCell ref="R37:Z37"/>
    <mergeCell ref="AA37:AN37"/>
    <mergeCell ref="B42:AN42"/>
    <mergeCell ref="B43:F43"/>
    <mergeCell ref="G43:L43"/>
    <mergeCell ref="N44:U44"/>
    <mergeCell ref="V43:AH43"/>
    <mergeCell ref="B46:F46"/>
    <mergeCell ref="B40:AN40"/>
    <mergeCell ref="A41:F41"/>
    <mergeCell ref="G41:L41"/>
    <mergeCell ref="N41:U41"/>
    <mergeCell ref="V41:AH41"/>
    <mergeCell ref="AI41:AN41"/>
    <mergeCell ref="N43:U43"/>
    <mergeCell ref="A48:F48"/>
    <mergeCell ref="G48:L48"/>
    <mergeCell ref="N48:U48"/>
    <mergeCell ref="V48:AH48"/>
    <mergeCell ref="B51:G51"/>
    <mergeCell ref="B53:F53"/>
    <mergeCell ref="G53:L53"/>
    <mergeCell ref="V53:AH53"/>
    <mergeCell ref="M53:U53"/>
    <mergeCell ref="B55:F55"/>
    <mergeCell ref="G55:L55"/>
    <mergeCell ref="G58:L58"/>
    <mergeCell ref="M58:AB58"/>
    <mergeCell ref="AC58:AN58"/>
    <mergeCell ref="B59:F59"/>
    <mergeCell ref="AC59:AN59"/>
    <mergeCell ref="G59:L59"/>
    <mergeCell ref="G60:L60"/>
    <mergeCell ref="M60:AB60"/>
    <mergeCell ref="M59:AB59"/>
    <mergeCell ref="B64:F64"/>
    <mergeCell ref="B69:F69"/>
    <mergeCell ref="M69:AB69"/>
    <mergeCell ref="AC64:AN64"/>
    <mergeCell ref="G64:L64"/>
    <mergeCell ref="G65:L65"/>
    <mergeCell ref="M64:AB64"/>
    <mergeCell ref="M65:AB65"/>
    <mergeCell ref="G69:L69"/>
    <mergeCell ref="AC69:AN69"/>
    <mergeCell ref="B78:F78"/>
    <mergeCell ref="B84:F84"/>
    <mergeCell ref="AC78:AN78"/>
    <mergeCell ref="M84:AB84"/>
    <mergeCell ref="AC84:AN85"/>
    <mergeCell ref="B90:F90"/>
    <mergeCell ref="G90:L90"/>
    <mergeCell ref="B70:F70"/>
    <mergeCell ref="B73:F73"/>
    <mergeCell ref="B71:F71"/>
    <mergeCell ref="G70:L70"/>
    <mergeCell ref="M70:AB70"/>
    <mergeCell ref="AC70:AN70"/>
    <mergeCell ref="G73:L73"/>
    <mergeCell ref="G74:L74"/>
    <mergeCell ref="M73:AB74"/>
    <mergeCell ref="M75:AB75"/>
    <mergeCell ref="AC73:AN73"/>
    <mergeCell ref="AC74:AN75"/>
    <mergeCell ref="G78:L78"/>
    <mergeCell ref="G79:L79"/>
    <mergeCell ref="M78:AB78"/>
    <mergeCell ref="M79:AB79"/>
    <mergeCell ref="I101:W101"/>
    <mergeCell ref="D101:F101"/>
    <mergeCell ref="I99:W100"/>
    <mergeCell ref="G84:L84"/>
    <mergeCell ref="G86:L86"/>
    <mergeCell ref="AC86:AN86"/>
    <mergeCell ref="G85:L85"/>
    <mergeCell ref="D99:F100"/>
    <mergeCell ref="B99:C100"/>
    <mergeCell ref="N96:U96"/>
    <mergeCell ref="W96:AH96"/>
    <mergeCell ref="M90:AB90"/>
    <mergeCell ref="AC90:AN90"/>
    <mergeCell ref="G96:L96"/>
  </mergeCells>
  <printOptions horizontalCentered="1"/>
  <pageMargins left="0.6692913385826772" right="0.47244094488188981" top="0.59055118110236227" bottom="0.31496062992125984" header="0.31496062992125984" footer="0.19685039370078741"/>
  <pageSetup paperSize="9" scale="65" orientation="portrait" r:id="rId1"/>
  <headerFooter>
    <oddHeader>&amp;R&amp;G</oddHeader>
    <oddFooter>&amp;LMHG-PU-F-0019&amp;CPPA-Template ; Rev.: 01/2019&amp;RJ.-U. Liedtke / PU-SD-GA</oddFooter>
  </headerFooter>
  <legacyDrawingHF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5">
    <pageSetUpPr fitToPage="1"/>
  </sheetPr>
  <dimension ref="A1:BY109"/>
  <sheetViews>
    <sheetView showGridLines="0" zoomScaleNormal="100" workbookViewId="0">
      <selection activeCell="R41" sqref="R41:W41"/>
    </sheetView>
  </sheetViews>
  <sheetFormatPr baseColWidth="10" defaultColWidth="9.140625" defaultRowHeight="12.75"/>
  <cols>
    <col min="1" max="1" width="0.7109375" style="24" customWidth="1"/>
    <col min="2" max="2" width="3" style="24" customWidth="1"/>
    <col min="3" max="3" width="0.7109375" style="24" customWidth="1"/>
    <col min="4" max="4" width="3" style="24" customWidth="1"/>
    <col min="5" max="5" width="4.85546875" style="24" customWidth="1"/>
    <col min="6" max="6" width="6.7109375" style="24" customWidth="1"/>
    <col min="7" max="7" width="8.28515625" style="24" customWidth="1"/>
    <col min="8" max="9" width="3.42578125" style="24" customWidth="1"/>
    <col min="10" max="10" width="5.28515625" style="24" customWidth="1"/>
    <col min="11" max="11" width="4" style="24" customWidth="1"/>
    <col min="12" max="12" width="3.85546875" style="24" customWidth="1"/>
    <col min="13" max="13" width="5" style="24" customWidth="1"/>
    <col min="14" max="14" width="3.140625" style="24" customWidth="1"/>
    <col min="15" max="16" width="3.42578125" style="24" customWidth="1"/>
    <col min="17" max="17" width="3" style="24" customWidth="1"/>
    <col min="18" max="18" width="0.7109375" style="24" customWidth="1"/>
    <col min="19" max="19" width="3" style="24" customWidth="1"/>
    <col min="20" max="20" width="0.7109375" style="24" customWidth="1"/>
    <col min="21" max="21" width="3.5703125" style="24" customWidth="1"/>
    <col min="22" max="22" width="3.28515625" style="24" customWidth="1"/>
    <col min="23" max="23" width="4" style="24" customWidth="1"/>
    <col min="24" max="25" width="3.42578125" style="24" customWidth="1"/>
    <col min="26" max="26" width="3.7109375" style="24" customWidth="1"/>
    <col min="27" max="27" width="5.42578125" style="24" customWidth="1"/>
    <col min="28" max="28" width="3.7109375" style="24" customWidth="1"/>
    <col min="29" max="30" width="3.42578125" style="24" customWidth="1"/>
    <col min="31" max="31" width="2.85546875" style="24" customWidth="1"/>
    <col min="32" max="32" width="1.7109375" style="24" customWidth="1"/>
    <col min="33" max="33" width="3.7109375" style="24" customWidth="1"/>
    <col min="34" max="39" width="3.42578125" style="24" customWidth="1"/>
    <col min="40" max="40" width="3.140625" style="24" customWidth="1"/>
    <col min="41" max="16384" width="9.140625" style="24"/>
  </cols>
  <sheetData>
    <row r="1" spans="1:40" ht="9" customHeight="1"/>
    <row r="2" spans="1:40">
      <c r="A2" s="912" t="str">
        <f>VLOOKUP("prozessbezogene und sonstige dokumente",Translations!$A:$T,MATCH(Cover!DR19,Translations!A2:P2,0),0)</f>
        <v>Process-related and other documents</v>
      </c>
      <c r="B2" s="912"/>
      <c r="C2" s="912"/>
      <c r="D2" s="912"/>
      <c r="E2" s="912"/>
      <c r="F2" s="912"/>
      <c r="G2" s="912"/>
      <c r="H2" s="912"/>
      <c r="I2" s="912"/>
      <c r="J2" s="912"/>
      <c r="K2" s="912"/>
      <c r="L2" s="912"/>
      <c r="M2" s="912"/>
      <c r="N2" s="912"/>
      <c r="O2" s="912"/>
      <c r="P2" s="912"/>
      <c r="Q2" s="912"/>
      <c r="R2" s="912"/>
      <c r="S2" s="912"/>
      <c r="T2" s="912"/>
      <c r="U2" s="912"/>
      <c r="V2" s="912"/>
      <c r="W2" s="912"/>
      <c r="X2" s="912"/>
      <c r="Y2" s="912"/>
      <c r="Z2" s="912"/>
      <c r="AA2" s="912"/>
      <c r="AB2" s="912"/>
      <c r="AC2" s="912"/>
      <c r="AD2" s="912"/>
      <c r="AE2" s="912"/>
      <c r="AF2" s="912"/>
      <c r="AG2" s="912"/>
      <c r="AH2" s="912"/>
    </row>
    <row r="3" spans="1:40">
      <c r="A3" s="912"/>
      <c r="B3" s="912"/>
      <c r="C3" s="912"/>
      <c r="D3" s="912"/>
      <c r="E3" s="912"/>
      <c r="F3" s="912"/>
      <c r="G3" s="912"/>
      <c r="H3" s="912"/>
      <c r="I3" s="912"/>
      <c r="J3" s="912"/>
      <c r="K3" s="912"/>
      <c r="L3" s="912"/>
      <c r="M3" s="912"/>
      <c r="N3" s="912"/>
      <c r="O3" s="912"/>
      <c r="P3" s="912"/>
      <c r="Q3" s="912"/>
      <c r="R3" s="912"/>
      <c r="S3" s="912"/>
      <c r="T3" s="912"/>
      <c r="U3" s="912"/>
      <c r="V3" s="912"/>
      <c r="W3" s="912"/>
      <c r="X3" s="912"/>
      <c r="Y3" s="912"/>
      <c r="Z3" s="912"/>
      <c r="AA3" s="912"/>
      <c r="AB3" s="912"/>
      <c r="AC3" s="912"/>
      <c r="AD3" s="912"/>
      <c r="AE3" s="912"/>
      <c r="AF3" s="912"/>
      <c r="AG3" s="912"/>
      <c r="AH3" s="912"/>
    </row>
    <row r="4" spans="1:40" ht="10.5" customHeight="1">
      <c r="A4" s="912"/>
      <c r="B4" s="912"/>
      <c r="C4" s="912"/>
      <c r="D4" s="912"/>
      <c r="E4" s="912"/>
      <c r="F4" s="912"/>
      <c r="G4" s="912"/>
      <c r="H4" s="912"/>
      <c r="I4" s="912"/>
      <c r="J4" s="912"/>
      <c r="K4" s="912"/>
      <c r="L4" s="912"/>
      <c r="M4" s="912"/>
      <c r="N4" s="912"/>
      <c r="O4" s="912"/>
      <c r="P4" s="912"/>
      <c r="Q4" s="912"/>
      <c r="R4" s="912"/>
      <c r="S4" s="912"/>
      <c r="T4" s="912"/>
      <c r="U4" s="912"/>
      <c r="V4" s="912"/>
      <c r="W4" s="912"/>
      <c r="X4" s="912"/>
      <c r="Y4" s="912"/>
      <c r="Z4" s="912"/>
      <c r="AA4" s="912"/>
      <c r="AB4" s="912"/>
      <c r="AC4" s="912"/>
      <c r="AD4" s="912"/>
      <c r="AE4" s="912"/>
      <c r="AF4" s="912"/>
      <c r="AG4" s="912"/>
      <c r="AH4" s="912"/>
    </row>
    <row r="5" spans="1:40" ht="15">
      <c r="E5" s="1186" t="str">
        <f>VLOOKUP("blatt",Translations!$A:$T,MATCH(Cover!DR19,Translations!A2:P2,0),0)</f>
        <v>Page</v>
      </c>
      <c r="F5" s="1186"/>
      <c r="G5" s="72"/>
      <c r="H5" s="1186" t="str">
        <f>VLOOKUP("vonvv",Translations!$A:$T,MATCH(Cover!DR19,Translations!A2:P2,0),0)</f>
        <v>of</v>
      </c>
      <c r="I5" s="1186"/>
      <c r="J5" s="1151"/>
      <c r="K5" s="1151"/>
      <c r="Y5" s="1186" t="str">
        <f>VLOOKUP("standyy",Translations!$A:$T,MATCH(Cover!DR19,Translations!A2:P2,0),0)</f>
        <v>Status:</v>
      </c>
      <c r="Z5" s="1186"/>
      <c r="AA5" s="1186"/>
      <c r="AB5" s="1157"/>
      <c r="AC5" s="1157"/>
      <c r="AD5" s="1157"/>
      <c r="AE5" s="1157"/>
      <c r="AF5" s="1157"/>
      <c r="AG5" s="1186" t="str">
        <f>VLOOKUP("ydatumf",Translations!$A:$T,MATCH(Cover!DR19,Translations!A2:P2,0),0)</f>
        <v>/ Date:</v>
      </c>
      <c r="AH5" s="1186"/>
      <c r="AI5" s="1186"/>
      <c r="AJ5" s="1150"/>
      <c r="AK5" s="1151"/>
      <c r="AL5" s="1151"/>
      <c r="AM5" s="1151"/>
    </row>
    <row r="6" spans="1:40" ht="4.5" customHeight="1" thickBot="1"/>
    <row r="7" spans="1:40" ht="3" customHeight="1">
      <c r="A7" s="59"/>
      <c r="B7" s="268"/>
      <c r="C7" s="268"/>
      <c r="D7" s="1192"/>
      <c r="E7" s="1192"/>
      <c r="F7" s="1192"/>
      <c r="G7" s="1192"/>
      <c r="H7" s="1192"/>
      <c r="I7" s="1192"/>
      <c r="J7" s="1192"/>
      <c r="K7" s="1192"/>
      <c r="L7" s="1192"/>
      <c r="M7" s="1192"/>
      <c r="N7" s="1192"/>
      <c r="O7" s="1192"/>
      <c r="P7" s="1192"/>
      <c r="Q7" s="1193"/>
      <c r="R7" s="59"/>
      <c r="S7" s="268"/>
      <c r="T7" s="268"/>
      <c r="U7" s="1192"/>
      <c r="V7" s="1192"/>
      <c r="W7" s="1192"/>
      <c r="X7" s="1192"/>
      <c r="Y7" s="1192"/>
      <c r="Z7" s="1192"/>
      <c r="AA7" s="1192"/>
      <c r="AB7" s="1192"/>
      <c r="AC7" s="1192"/>
      <c r="AD7" s="1192"/>
      <c r="AE7" s="1192"/>
      <c r="AF7" s="1192"/>
      <c r="AG7" s="1192"/>
      <c r="AH7" s="1192"/>
      <c r="AI7" s="1192"/>
      <c r="AJ7" s="1192"/>
      <c r="AK7" s="1192"/>
      <c r="AL7" s="1192"/>
      <c r="AM7" s="1192"/>
      <c r="AN7" s="1193"/>
    </row>
    <row r="8" spans="1:40" ht="15.75" customHeight="1">
      <c r="A8" s="42"/>
      <c r="B8" s="271"/>
      <c r="C8" s="31"/>
      <c r="D8" s="1353" t="str">
        <f>Cover!AB23</f>
        <v>8 Software test report</v>
      </c>
      <c r="E8" s="1353"/>
      <c r="F8" s="1353"/>
      <c r="G8" s="1353"/>
      <c r="H8" s="1353"/>
      <c r="I8" s="1353"/>
      <c r="J8" s="1353"/>
      <c r="K8" s="1353"/>
      <c r="L8" s="1353"/>
      <c r="M8" s="1353"/>
      <c r="N8" s="1353"/>
      <c r="O8" s="1353"/>
      <c r="P8" s="1353"/>
      <c r="Q8" s="1354"/>
      <c r="R8" s="42"/>
      <c r="S8" s="271"/>
      <c r="T8" s="31"/>
      <c r="U8" s="1353" t="str">
        <f>Cover!BU23</f>
        <v>16 Tooling list</v>
      </c>
      <c r="V8" s="1353"/>
      <c r="W8" s="1353"/>
      <c r="X8" s="1353"/>
      <c r="Y8" s="1353"/>
      <c r="Z8" s="1353"/>
      <c r="AA8" s="1353"/>
      <c r="AB8" s="1353"/>
      <c r="AC8" s="1353"/>
      <c r="AD8" s="1353"/>
      <c r="AE8" s="1353"/>
      <c r="AF8" s="1353"/>
      <c r="AG8" s="1353"/>
      <c r="AH8" s="1353"/>
      <c r="AI8" s="1353"/>
      <c r="AJ8" s="1353"/>
      <c r="AK8" s="1353"/>
      <c r="AL8" s="1353"/>
      <c r="AM8" s="1353"/>
      <c r="AN8" s="1354"/>
    </row>
    <row r="9" spans="1:40" ht="3" customHeight="1">
      <c r="A9" s="42"/>
      <c r="B9" s="31"/>
      <c r="C9" s="31"/>
      <c r="D9" s="276"/>
      <c r="E9" s="276"/>
      <c r="F9" s="276"/>
      <c r="G9" s="276"/>
      <c r="H9" s="276"/>
      <c r="I9" s="276"/>
      <c r="J9" s="276"/>
      <c r="K9" s="276"/>
      <c r="L9" s="276"/>
      <c r="M9" s="276"/>
      <c r="N9" s="276"/>
      <c r="O9" s="276"/>
      <c r="P9" s="276"/>
      <c r="Q9" s="277"/>
      <c r="R9" s="42"/>
      <c r="S9" s="31"/>
      <c r="T9" s="31"/>
      <c r="U9" s="411"/>
      <c r="V9" s="411"/>
      <c r="W9" s="411"/>
      <c r="X9" s="411"/>
      <c r="Y9" s="411"/>
      <c r="Z9" s="411"/>
      <c r="AA9" s="411"/>
      <c r="AB9" s="411"/>
      <c r="AC9" s="411"/>
      <c r="AD9" s="411"/>
      <c r="AE9" s="411"/>
      <c r="AF9" s="411"/>
      <c r="AG9" s="411"/>
      <c r="AH9" s="411"/>
      <c r="AI9" s="411"/>
      <c r="AJ9" s="411"/>
      <c r="AK9" s="411"/>
      <c r="AL9" s="411"/>
      <c r="AM9" s="411"/>
      <c r="AN9" s="412"/>
    </row>
    <row r="10" spans="1:40" ht="3" customHeight="1">
      <c r="A10" s="42"/>
      <c r="B10" s="31"/>
      <c r="C10" s="31"/>
      <c r="D10" s="276"/>
      <c r="E10" s="276"/>
      <c r="F10" s="276"/>
      <c r="G10" s="276"/>
      <c r="H10" s="276"/>
      <c r="I10" s="276"/>
      <c r="J10" s="276"/>
      <c r="K10" s="276"/>
      <c r="L10" s="276"/>
      <c r="M10" s="276"/>
      <c r="N10" s="276"/>
      <c r="O10" s="276"/>
      <c r="P10" s="276"/>
      <c r="Q10" s="277"/>
      <c r="R10" s="42"/>
      <c r="S10" s="31"/>
      <c r="T10" s="31"/>
      <c r="U10" s="411"/>
      <c r="V10" s="411"/>
      <c r="W10" s="411"/>
      <c r="X10" s="411"/>
      <c r="Y10" s="411"/>
      <c r="Z10" s="411"/>
      <c r="AA10" s="411"/>
      <c r="AB10" s="411"/>
      <c r="AC10" s="411"/>
      <c r="AD10" s="411"/>
      <c r="AE10" s="411"/>
      <c r="AF10" s="411"/>
      <c r="AG10" s="411"/>
      <c r="AH10" s="411"/>
      <c r="AI10" s="411"/>
      <c r="AJ10" s="411"/>
      <c r="AK10" s="411"/>
      <c r="AL10" s="411"/>
      <c r="AM10" s="411"/>
      <c r="AN10" s="412"/>
    </row>
    <row r="11" spans="1:40" ht="15.75" customHeight="1">
      <c r="A11" s="42"/>
      <c r="B11" s="271"/>
      <c r="C11" s="31"/>
      <c r="D11" s="1353" t="str">
        <f>Cover!AB25</f>
        <v>9 Process – FMEA</v>
      </c>
      <c r="E11" s="1353"/>
      <c r="F11" s="1353"/>
      <c r="G11" s="1353"/>
      <c r="H11" s="1353"/>
      <c r="I11" s="1353"/>
      <c r="J11" s="1353"/>
      <c r="K11" s="1353"/>
      <c r="L11" s="1353"/>
      <c r="M11" s="1353"/>
      <c r="N11" s="1353"/>
      <c r="O11" s="1353"/>
      <c r="P11" s="1353"/>
      <c r="Q11" s="1354"/>
      <c r="R11" s="42"/>
      <c r="S11" s="271"/>
      <c r="T11" s="31"/>
      <c r="U11" s="1353" t="str">
        <f>Cover!BU25</f>
        <v>17 Confirmation of agreed capacity</v>
      </c>
      <c r="V11" s="1353"/>
      <c r="W11" s="1353"/>
      <c r="X11" s="1353"/>
      <c r="Y11" s="1353"/>
      <c r="Z11" s="1353"/>
      <c r="AA11" s="1353"/>
      <c r="AB11" s="1353"/>
      <c r="AC11" s="1353"/>
      <c r="AD11" s="1353"/>
      <c r="AE11" s="1353"/>
      <c r="AF11" s="1353"/>
      <c r="AG11" s="1353"/>
      <c r="AH11" s="1353"/>
      <c r="AI11" s="1353"/>
      <c r="AJ11" s="1353"/>
      <c r="AK11" s="1353"/>
      <c r="AL11" s="1353"/>
      <c r="AM11" s="1353"/>
      <c r="AN11" s="1354"/>
    </row>
    <row r="12" spans="1:40" ht="3" customHeight="1">
      <c r="A12" s="42"/>
      <c r="B12" s="31"/>
      <c r="C12" s="31"/>
      <c r="D12" s="276"/>
      <c r="E12" s="276"/>
      <c r="F12" s="276"/>
      <c r="G12" s="276"/>
      <c r="H12" s="276"/>
      <c r="I12" s="276"/>
      <c r="J12" s="276"/>
      <c r="K12" s="276"/>
      <c r="L12" s="276"/>
      <c r="M12" s="276"/>
      <c r="N12" s="276"/>
      <c r="O12" s="276"/>
      <c r="P12" s="276"/>
      <c r="Q12" s="277"/>
      <c r="R12" s="42"/>
      <c r="S12" s="31"/>
      <c r="T12" s="31"/>
      <c r="U12" s="411"/>
      <c r="V12" s="411"/>
      <c r="W12" s="411"/>
      <c r="X12" s="411"/>
      <c r="Y12" s="411"/>
      <c r="Z12" s="411"/>
      <c r="AA12" s="411"/>
      <c r="AB12" s="411"/>
      <c r="AC12" s="411"/>
      <c r="AD12" s="411"/>
      <c r="AE12" s="411"/>
      <c r="AF12" s="411"/>
      <c r="AG12" s="411"/>
      <c r="AH12" s="411"/>
      <c r="AI12" s="411"/>
      <c r="AJ12" s="411"/>
      <c r="AK12" s="411"/>
      <c r="AL12" s="411"/>
      <c r="AM12" s="411"/>
      <c r="AN12" s="412"/>
    </row>
    <row r="13" spans="1:40" ht="3" customHeight="1">
      <c r="A13" s="42"/>
      <c r="B13" s="31"/>
      <c r="C13" s="31"/>
      <c r="D13" s="276"/>
      <c r="E13" s="276"/>
      <c r="F13" s="276"/>
      <c r="G13" s="276"/>
      <c r="H13" s="276"/>
      <c r="I13" s="276"/>
      <c r="J13" s="276"/>
      <c r="K13" s="276"/>
      <c r="L13" s="276"/>
      <c r="M13" s="276"/>
      <c r="N13" s="276"/>
      <c r="O13" s="276"/>
      <c r="P13" s="276"/>
      <c r="Q13" s="277"/>
      <c r="R13" s="42"/>
      <c r="S13" s="31"/>
      <c r="T13" s="31"/>
      <c r="U13" s="411"/>
      <c r="V13" s="411"/>
      <c r="W13" s="411"/>
      <c r="X13" s="411"/>
      <c r="Y13" s="411"/>
      <c r="Z13" s="411"/>
      <c r="AA13" s="411"/>
      <c r="AB13" s="411"/>
      <c r="AC13" s="411"/>
      <c r="AD13" s="411"/>
      <c r="AE13" s="411"/>
      <c r="AF13" s="411"/>
      <c r="AG13" s="411"/>
      <c r="AH13" s="411"/>
      <c r="AI13" s="411"/>
      <c r="AJ13" s="411"/>
      <c r="AK13" s="411"/>
      <c r="AL13" s="411"/>
      <c r="AM13" s="411"/>
      <c r="AN13" s="412"/>
    </row>
    <row r="14" spans="1:40" ht="15.75" customHeight="1">
      <c r="A14" s="42"/>
      <c r="B14" s="271"/>
      <c r="C14" s="31"/>
      <c r="D14" s="1353" t="str">
        <f>Cover!AB27</f>
        <v>10 Process flow chart</v>
      </c>
      <c r="E14" s="1353"/>
      <c r="F14" s="1353"/>
      <c r="G14" s="1353"/>
      <c r="H14" s="1353"/>
      <c r="I14" s="1353"/>
      <c r="J14" s="1353"/>
      <c r="K14" s="1353"/>
      <c r="L14" s="1353"/>
      <c r="M14" s="1353"/>
      <c r="N14" s="1353"/>
      <c r="O14" s="1353"/>
      <c r="P14" s="1353"/>
      <c r="Q14" s="1354"/>
      <c r="R14" s="42"/>
      <c r="S14" s="271"/>
      <c r="T14" s="31"/>
      <c r="U14" s="1353" t="str">
        <f>Cover!BU27</f>
        <v>18 Written self-assessment</v>
      </c>
      <c r="V14" s="1353"/>
      <c r="W14" s="1353"/>
      <c r="X14" s="1353"/>
      <c r="Y14" s="1353"/>
      <c r="Z14" s="1353"/>
      <c r="AA14" s="1353"/>
      <c r="AB14" s="1353"/>
      <c r="AC14" s="1353"/>
      <c r="AD14" s="1353"/>
      <c r="AE14" s="1353"/>
      <c r="AF14" s="1353"/>
      <c r="AG14" s="1353"/>
      <c r="AH14" s="1353"/>
      <c r="AI14" s="1353"/>
      <c r="AJ14" s="1353"/>
      <c r="AK14" s="1353"/>
      <c r="AL14" s="1353"/>
      <c r="AM14" s="1353"/>
      <c r="AN14" s="1354"/>
    </row>
    <row r="15" spans="1:40" ht="3" customHeight="1">
      <c r="A15" s="42"/>
      <c r="B15" s="31"/>
      <c r="C15" s="31"/>
      <c r="D15" s="411"/>
      <c r="E15" s="411"/>
      <c r="F15" s="411"/>
      <c r="G15" s="411"/>
      <c r="H15" s="411"/>
      <c r="I15" s="411"/>
      <c r="J15" s="411"/>
      <c r="K15" s="411"/>
      <c r="L15" s="411"/>
      <c r="M15" s="411"/>
      <c r="N15" s="411"/>
      <c r="O15" s="411"/>
      <c r="P15" s="411"/>
      <c r="Q15" s="412"/>
      <c r="R15" s="42"/>
      <c r="S15" s="31"/>
      <c r="T15" s="31"/>
      <c r="U15" s="411"/>
      <c r="V15" s="411"/>
      <c r="W15" s="411"/>
      <c r="X15" s="411"/>
      <c r="Y15" s="411"/>
      <c r="Z15" s="411"/>
      <c r="AA15" s="411"/>
      <c r="AB15" s="411"/>
      <c r="AC15" s="411"/>
      <c r="AD15" s="411"/>
      <c r="AE15" s="411"/>
      <c r="AF15" s="411"/>
      <c r="AG15" s="411"/>
      <c r="AH15" s="411"/>
      <c r="AI15" s="411"/>
      <c r="AJ15" s="411"/>
      <c r="AK15" s="411"/>
      <c r="AL15" s="411"/>
      <c r="AM15" s="411"/>
      <c r="AN15" s="412"/>
    </row>
    <row r="16" spans="1:40" ht="3" customHeight="1">
      <c r="A16" s="42"/>
      <c r="B16" s="31"/>
      <c r="C16" s="31"/>
      <c r="D16" s="411"/>
      <c r="E16" s="411"/>
      <c r="F16" s="411"/>
      <c r="G16" s="411"/>
      <c r="H16" s="411"/>
      <c r="I16" s="411"/>
      <c r="J16" s="411"/>
      <c r="K16" s="411"/>
      <c r="L16" s="411"/>
      <c r="M16" s="411"/>
      <c r="N16" s="411"/>
      <c r="O16" s="411"/>
      <c r="P16" s="411"/>
      <c r="Q16" s="412"/>
      <c r="R16" s="42"/>
      <c r="S16" s="31"/>
      <c r="T16" s="31"/>
      <c r="U16" s="411"/>
      <c r="V16" s="411"/>
      <c r="W16" s="411"/>
      <c r="X16" s="411"/>
      <c r="Y16" s="411"/>
      <c r="Z16" s="411"/>
      <c r="AA16" s="411"/>
      <c r="AB16" s="411"/>
      <c r="AC16" s="411"/>
      <c r="AD16" s="411"/>
      <c r="AE16" s="411"/>
      <c r="AF16" s="411"/>
      <c r="AG16" s="411"/>
      <c r="AH16" s="411"/>
      <c r="AI16" s="411"/>
      <c r="AJ16" s="411"/>
      <c r="AK16" s="411"/>
      <c r="AL16" s="411"/>
      <c r="AM16" s="411"/>
      <c r="AN16" s="412"/>
    </row>
    <row r="17" spans="1:40" ht="15.75" customHeight="1">
      <c r="A17" s="42"/>
      <c r="B17" s="271"/>
      <c r="C17" s="31"/>
      <c r="D17" s="1353" t="str">
        <f>Cover!AB29</f>
        <v>11 Control plan</v>
      </c>
      <c r="E17" s="1353"/>
      <c r="F17" s="1353"/>
      <c r="G17" s="1353"/>
      <c r="H17" s="1353"/>
      <c r="I17" s="1353"/>
      <c r="J17" s="1353"/>
      <c r="K17" s="1353"/>
      <c r="L17" s="1353"/>
      <c r="M17" s="1353"/>
      <c r="N17" s="1353"/>
      <c r="O17" s="1353"/>
      <c r="P17" s="1353"/>
      <c r="Q17" s="1354"/>
      <c r="R17" s="42"/>
      <c r="S17" s="620" t="s">
        <v>653</v>
      </c>
      <c r="T17" s="31"/>
      <c r="U17" s="1353" t="str">
        <f>Cover!BU29</f>
        <v>19 Part history</v>
      </c>
      <c r="V17" s="1353"/>
      <c r="W17" s="1353"/>
      <c r="X17" s="1353"/>
      <c r="Y17" s="1353"/>
      <c r="Z17" s="1353"/>
      <c r="AA17" s="1353"/>
      <c r="AB17" s="1353"/>
      <c r="AC17" s="1353"/>
      <c r="AD17" s="1353"/>
      <c r="AE17" s="1353"/>
      <c r="AF17" s="1353"/>
      <c r="AG17" s="1353"/>
      <c r="AH17" s="1353"/>
      <c r="AI17" s="1353"/>
      <c r="AJ17" s="1353"/>
      <c r="AK17" s="1353"/>
      <c r="AL17" s="1353"/>
      <c r="AM17" s="1353"/>
      <c r="AN17" s="1354"/>
    </row>
    <row r="18" spans="1:40" ht="3" customHeight="1">
      <c r="A18" s="42"/>
      <c r="B18" s="31"/>
      <c r="C18" s="31"/>
      <c r="D18" s="411"/>
      <c r="E18" s="411"/>
      <c r="F18" s="411"/>
      <c r="G18" s="411"/>
      <c r="H18" s="411"/>
      <c r="I18" s="411"/>
      <c r="J18" s="411"/>
      <c r="K18" s="411"/>
      <c r="L18" s="411"/>
      <c r="M18" s="411"/>
      <c r="N18" s="411"/>
      <c r="O18" s="411"/>
      <c r="P18" s="411"/>
      <c r="Q18" s="412"/>
      <c r="R18" s="42"/>
      <c r="S18" s="31"/>
      <c r="T18" s="31"/>
      <c r="U18" s="411"/>
      <c r="V18" s="411"/>
      <c r="W18" s="411"/>
      <c r="X18" s="411"/>
      <c r="Y18" s="411"/>
      <c r="Z18" s="411"/>
      <c r="AA18" s="411"/>
      <c r="AB18" s="411"/>
      <c r="AC18" s="411"/>
      <c r="AD18" s="411"/>
      <c r="AE18" s="411"/>
      <c r="AF18" s="411"/>
      <c r="AG18" s="411"/>
      <c r="AH18" s="411"/>
      <c r="AI18" s="411"/>
      <c r="AJ18" s="411"/>
      <c r="AK18" s="411"/>
      <c r="AL18" s="411"/>
      <c r="AM18" s="411"/>
      <c r="AN18" s="412"/>
    </row>
    <row r="19" spans="1:40" ht="3" customHeight="1">
      <c r="A19" s="42"/>
      <c r="B19" s="31"/>
      <c r="C19" s="31"/>
      <c r="D19" s="411"/>
      <c r="E19" s="411"/>
      <c r="F19" s="411"/>
      <c r="G19" s="411"/>
      <c r="H19" s="411"/>
      <c r="I19" s="411"/>
      <c r="J19" s="411"/>
      <c r="K19" s="411"/>
      <c r="L19" s="411"/>
      <c r="M19" s="411"/>
      <c r="N19" s="411"/>
      <c r="O19" s="411"/>
      <c r="P19" s="411"/>
      <c r="Q19" s="412"/>
      <c r="R19" s="42"/>
      <c r="S19" s="31"/>
      <c r="T19" s="31"/>
      <c r="U19" s="411"/>
      <c r="V19" s="411"/>
      <c r="W19" s="411"/>
      <c r="X19" s="411"/>
      <c r="Y19" s="411"/>
      <c r="Z19" s="411"/>
      <c r="AA19" s="411"/>
      <c r="AB19" s="411"/>
      <c r="AC19" s="411"/>
      <c r="AD19" s="411"/>
      <c r="AE19" s="411"/>
      <c r="AF19" s="411"/>
      <c r="AG19" s="411"/>
      <c r="AH19" s="411"/>
      <c r="AI19" s="411"/>
      <c r="AJ19" s="411"/>
      <c r="AK19" s="411"/>
      <c r="AL19" s="411"/>
      <c r="AM19" s="411"/>
      <c r="AN19" s="412"/>
    </row>
    <row r="20" spans="1:40" ht="15.75" customHeight="1">
      <c r="A20" s="42"/>
      <c r="B20" s="271"/>
      <c r="C20" s="31"/>
      <c r="D20" s="1353" t="str">
        <f>Cover!AB31</f>
        <v>12 Confirmation of process capability</v>
      </c>
      <c r="E20" s="1353"/>
      <c r="F20" s="1353"/>
      <c r="G20" s="1353"/>
      <c r="H20" s="1353"/>
      <c r="I20" s="1353"/>
      <c r="J20" s="1353"/>
      <c r="K20" s="1353"/>
      <c r="L20" s="1353"/>
      <c r="M20" s="1353"/>
      <c r="N20" s="1353"/>
      <c r="O20" s="1353"/>
      <c r="P20" s="1353"/>
      <c r="Q20" s="1354"/>
      <c r="R20" s="42"/>
      <c r="S20" s="271"/>
      <c r="T20" s="31"/>
      <c r="U20" s="1353" t="str">
        <f>Cover!BU31</f>
        <v>20 Confirmation of suitability of transport equipment</v>
      </c>
      <c r="V20" s="1353"/>
      <c r="W20" s="1353"/>
      <c r="X20" s="1353"/>
      <c r="Y20" s="1353"/>
      <c r="Z20" s="1353"/>
      <c r="AA20" s="1353"/>
      <c r="AB20" s="1353"/>
      <c r="AC20" s="1353"/>
      <c r="AD20" s="1353"/>
      <c r="AE20" s="1353"/>
      <c r="AF20" s="1353"/>
      <c r="AG20" s="1353"/>
      <c r="AH20" s="1353"/>
      <c r="AI20" s="1353"/>
      <c r="AJ20" s="1353"/>
      <c r="AK20" s="1353"/>
      <c r="AL20" s="1353"/>
      <c r="AM20" s="1353"/>
      <c r="AN20" s="1354"/>
    </row>
    <row r="21" spans="1:40" ht="3" customHeight="1">
      <c r="A21" s="42"/>
      <c r="B21" s="31"/>
      <c r="C21" s="31"/>
      <c r="D21" s="411"/>
      <c r="E21" s="411"/>
      <c r="F21" s="411"/>
      <c r="G21" s="411"/>
      <c r="H21" s="411"/>
      <c r="I21" s="411"/>
      <c r="J21" s="411"/>
      <c r="K21" s="411"/>
      <c r="L21" s="411"/>
      <c r="M21" s="411"/>
      <c r="N21" s="411"/>
      <c r="O21" s="411"/>
      <c r="P21" s="411"/>
      <c r="Q21" s="412"/>
      <c r="R21" s="42"/>
      <c r="S21" s="31"/>
      <c r="T21" s="31"/>
      <c r="U21" s="411"/>
      <c r="V21" s="411"/>
      <c r="W21" s="411"/>
      <c r="X21" s="411"/>
      <c r="Y21" s="411"/>
      <c r="Z21" s="411"/>
      <c r="AA21" s="411"/>
      <c r="AB21" s="411"/>
      <c r="AC21" s="411"/>
      <c r="AD21" s="411"/>
      <c r="AE21" s="411"/>
      <c r="AF21" s="411"/>
      <c r="AG21" s="411"/>
      <c r="AH21" s="411"/>
      <c r="AI21" s="411"/>
      <c r="AJ21" s="411"/>
      <c r="AK21" s="411"/>
      <c r="AL21" s="411"/>
      <c r="AM21" s="411"/>
      <c r="AN21" s="412"/>
    </row>
    <row r="22" spans="1:40" ht="3" customHeight="1">
      <c r="A22" s="42"/>
      <c r="B22" s="31"/>
      <c r="C22" s="31"/>
      <c r="D22" s="411"/>
      <c r="E22" s="411"/>
      <c r="F22" s="411"/>
      <c r="G22" s="411"/>
      <c r="H22" s="411"/>
      <c r="I22" s="411"/>
      <c r="J22" s="411"/>
      <c r="K22" s="411"/>
      <c r="L22" s="411"/>
      <c r="M22" s="411"/>
      <c r="N22" s="411"/>
      <c r="O22" s="411"/>
      <c r="P22" s="411"/>
      <c r="Q22" s="412"/>
      <c r="R22" s="42"/>
      <c r="S22" s="31"/>
      <c r="T22" s="31"/>
      <c r="U22" s="411"/>
      <c r="V22" s="411"/>
      <c r="W22" s="411"/>
      <c r="X22" s="411"/>
      <c r="Y22" s="411"/>
      <c r="Z22" s="411"/>
      <c r="AA22" s="411"/>
      <c r="AB22" s="411"/>
      <c r="AC22" s="411"/>
      <c r="AD22" s="411"/>
      <c r="AE22" s="411"/>
      <c r="AF22" s="411"/>
      <c r="AG22" s="411"/>
      <c r="AH22" s="411"/>
      <c r="AI22" s="411"/>
      <c r="AJ22" s="411"/>
      <c r="AK22" s="411"/>
      <c r="AL22" s="411"/>
      <c r="AM22" s="411"/>
      <c r="AN22" s="412"/>
    </row>
    <row r="23" spans="1:40" ht="15.75" customHeight="1">
      <c r="A23" s="42"/>
      <c r="B23" s="271"/>
      <c r="C23" s="31"/>
      <c r="D23" s="1353" t="str">
        <f>Cover!AB33</f>
        <v>13 Achievement of special characteristics</v>
      </c>
      <c r="E23" s="1353"/>
      <c r="F23" s="1353"/>
      <c r="G23" s="1353"/>
      <c r="H23" s="1353"/>
      <c r="I23" s="1353"/>
      <c r="J23" s="1353"/>
      <c r="K23" s="1353"/>
      <c r="L23" s="1353"/>
      <c r="M23" s="1353"/>
      <c r="N23" s="1353"/>
      <c r="O23" s="1353"/>
      <c r="P23" s="1353"/>
      <c r="Q23" s="1354"/>
      <c r="R23" s="42"/>
      <c r="S23" s="271"/>
      <c r="T23" s="31"/>
      <c r="U23" s="1353" t="str">
        <f>Cover!BU33</f>
        <v>21 PPA-Status of the supply chain</v>
      </c>
      <c r="V23" s="1353"/>
      <c r="W23" s="1353"/>
      <c r="X23" s="1353"/>
      <c r="Y23" s="1353"/>
      <c r="Z23" s="1353"/>
      <c r="AA23" s="1353"/>
      <c r="AB23" s="1353"/>
      <c r="AC23" s="1353"/>
      <c r="AD23" s="1353"/>
      <c r="AE23" s="1353"/>
      <c r="AF23" s="1353"/>
      <c r="AG23" s="1353"/>
      <c r="AH23" s="1353"/>
      <c r="AI23" s="1353"/>
      <c r="AJ23" s="1353"/>
      <c r="AK23" s="1353"/>
      <c r="AL23" s="1353"/>
      <c r="AM23" s="1353"/>
      <c r="AN23" s="1354"/>
    </row>
    <row r="24" spans="1:40" ht="3" customHeight="1">
      <c r="A24" s="42"/>
      <c r="B24" s="31"/>
      <c r="C24" s="31"/>
      <c r="D24" s="411"/>
      <c r="E24" s="411"/>
      <c r="F24" s="411"/>
      <c r="G24" s="411"/>
      <c r="H24" s="411"/>
      <c r="I24" s="411"/>
      <c r="J24" s="411"/>
      <c r="K24" s="411"/>
      <c r="L24" s="411"/>
      <c r="M24" s="411"/>
      <c r="N24" s="411"/>
      <c r="O24" s="411"/>
      <c r="P24" s="411"/>
      <c r="Q24" s="412"/>
      <c r="R24" s="42"/>
      <c r="S24" s="31"/>
      <c r="T24" s="31"/>
      <c r="U24" s="411"/>
      <c r="V24" s="411"/>
      <c r="W24" s="411"/>
      <c r="X24" s="411"/>
      <c r="Y24" s="411"/>
      <c r="Z24" s="411"/>
      <c r="AA24" s="411"/>
      <c r="AB24" s="411"/>
      <c r="AC24" s="411"/>
      <c r="AD24" s="411"/>
      <c r="AE24" s="411"/>
      <c r="AF24" s="411"/>
      <c r="AG24" s="411"/>
      <c r="AH24" s="411"/>
      <c r="AI24" s="411"/>
      <c r="AJ24" s="411"/>
      <c r="AK24" s="411"/>
      <c r="AL24" s="411"/>
      <c r="AM24" s="411"/>
      <c r="AN24" s="412"/>
    </row>
    <row r="25" spans="1:40" ht="3" customHeight="1">
      <c r="A25" s="42"/>
      <c r="B25" s="31"/>
      <c r="C25" s="31"/>
      <c r="D25" s="411"/>
      <c r="E25" s="411"/>
      <c r="F25" s="411"/>
      <c r="G25" s="411"/>
      <c r="H25" s="411"/>
      <c r="I25" s="411"/>
      <c r="J25" s="411"/>
      <c r="K25" s="411"/>
      <c r="L25" s="411"/>
      <c r="M25" s="411"/>
      <c r="N25" s="411"/>
      <c r="O25" s="411"/>
      <c r="P25" s="411"/>
      <c r="Q25" s="412"/>
      <c r="R25" s="42"/>
      <c r="S25" s="31"/>
      <c r="T25" s="31"/>
      <c r="U25" s="411"/>
      <c r="V25" s="411"/>
      <c r="W25" s="411"/>
      <c r="X25" s="411"/>
      <c r="Y25" s="411"/>
      <c r="Z25" s="411"/>
      <c r="AA25" s="411"/>
      <c r="AB25" s="411"/>
      <c r="AC25" s="411"/>
      <c r="AD25" s="411"/>
      <c r="AE25" s="411"/>
      <c r="AF25" s="411"/>
      <c r="AG25" s="411"/>
      <c r="AH25" s="411"/>
      <c r="AI25" s="411"/>
      <c r="AJ25" s="411"/>
      <c r="AK25" s="411"/>
      <c r="AL25" s="411"/>
      <c r="AM25" s="411"/>
      <c r="AN25" s="412"/>
    </row>
    <row r="26" spans="1:40" ht="15.75" customHeight="1">
      <c r="A26" s="42"/>
      <c r="B26" s="271"/>
      <c r="C26" s="31"/>
      <c r="D26" s="1353" t="str">
        <f>Cover!AB35</f>
        <v>14 Test / Inspection equipment list</v>
      </c>
      <c r="E26" s="1353"/>
      <c r="F26" s="1353"/>
      <c r="G26" s="1353"/>
      <c r="H26" s="1353"/>
      <c r="I26" s="1353"/>
      <c r="J26" s="1353"/>
      <c r="K26" s="1353"/>
      <c r="L26" s="1353"/>
      <c r="M26" s="1353"/>
      <c r="N26" s="1353"/>
      <c r="O26" s="1353"/>
      <c r="P26" s="1353"/>
      <c r="Q26" s="1354"/>
      <c r="R26" s="42"/>
      <c r="S26" s="271"/>
      <c r="T26" s="31"/>
      <c r="U26" s="1353" t="str">
        <f>Cover!BU35</f>
        <v xml:space="preserve">22 Approval of coating systems </v>
      </c>
      <c r="V26" s="1353"/>
      <c r="W26" s="1353"/>
      <c r="X26" s="1353"/>
      <c r="Y26" s="1353"/>
      <c r="Z26" s="1353"/>
      <c r="AA26" s="1353"/>
      <c r="AB26" s="1353"/>
      <c r="AC26" s="1353"/>
      <c r="AD26" s="1353"/>
      <c r="AE26" s="1353"/>
      <c r="AF26" s="1353"/>
      <c r="AG26" s="1353"/>
      <c r="AH26" s="1353"/>
      <c r="AI26" s="1353"/>
      <c r="AJ26" s="1353"/>
      <c r="AK26" s="1353"/>
      <c r="AL26" s="1353"/>
      <c r="AM26" s="1353"/>
      <c r="AN26" s="1354"/>
    </row>
    <row r="27" spans="1:40" ht="3" customHeight="1">
      <c r="A27" s="42"/>
      <c r="B27" s="31"/>
      <c r="C27" s="31"/>
      <c r="D27" s="411"/>
      <c r="E27" s="411"/>
      <c r="F27" s="411"/>
      <c r="G27" s="411"/>
      <c r="H27" s="411"/>
      <c r="I27" s="411"/>
      <c r="J27" s="411"/>
      <c r="K27" s="411"/>
      <c r="L27" s="411"/>
      <c r="M27" s="411"/>
      <c r="N27" s="411"/>
      <c r="O27" s="411"/>
      <c r="P27" s="411"/>
      <c r="Q27" s="412"/>
      <c r="R27" s="42"/>
      <c r="S27" s="31"/>
      <c r="T27" s="31"/>
      <c r="U27" s="411"/>
      <c r="V27" s="411"/>
      <c r="W27" s="411"/>
      <c r="X27" s="411"/>
      <c r="Y27" s="411"/>
      <c r="Z27" s="411"/>
      <c r="AA27" s="411"/>
      <c r="AB27" s="411"/>
      <c r="AC27" s="411"/>
      <c r="AD27" s="411"/>
      <c r="AE27" s="411"/>
      <c r="AF27" s="411"/>
      <c r="AG27" s="411"/>
      <c r="AH27" s="411"/>
      <c r="AI27" s="411"/>
      <c r="AJ27" s="411"/>
      <c r="AK27" s="411"/>
      <c r="AL27" s="411"/>
      <c r="AM27" s="411"/>
      <c r="AN27" s="412"/>
    </row>
    <row r="28" spans="1:40" ht="3" customHeight="1">
      <c r="A28" s="42"/>
      <c r="B28" s="31"/>
      <c r="C28" s="31"/>
      <c r="D28" s="411"/>
      <c r="E28" s="411"/>
      <c r="F28" s="411"/>
      <c r="G28" s="411"/>
      <c r="H28" s="411"/>
      <c r="I28" s="411"/>
      <c r="J28" s="411"/>
      <c r="K28" s="411"/>
      <c r="L28" s="411"/>
      <c r="M28" s="411"/>
      <c r="N28" s="411"/>
      <c r="O28" s="411"/>
      <c r="P28" s="411"/>
      <c r="Q28" s="412"/>
      <c r="R28" s="42"/>
      <c r="S28" s="31"/>
      <c r="T28" s="31"/>
      <c r="U28" s="411"/>
      <c r="V28" s="411"/>
      <c r="W28" s="411"/>
      <c r="X28" s="411"/>
      <c r="Y28" s="411"/>
      <c r="Z28" s="411"/>
      <c r="AA28" s="411"/>
      <c r="AB28" s="411"/>
      <c r="AC28" s="411"/>
      <c r="AD28" s="411"/>
      <c r="AE28" s="411"/>
      <c r="AF28" s="411"/>
      <c r="AG28" s="411"/>
      <c r="AH28" s="411"/>
      <c r="AI28" s="411"/>
      <c r="AJ28" s="411"/>
      <c r="AK28" s="411"/>
      <c r="AL28" s="411"/>
      <c r="AM28" s="411"/>
      <c r="AN28" s="412"/>
    </row>
    <row r="29" spans="1:40" ht="15.75" customHeight="1">
      <c r="A29" s="42"/>
      <c r="B29" s="271"/>
      <c r="C29" s="31"/>
      <c r="D29" s="1353" t="str">
        <f>Cover!AB37</f>
        <v>15 Capability study testing equipment</v>
      </c>
      <c r="E29" s="1353"/>
      <c r="F29" s="1353"/>
      <c r="G29" s="1353"/>
      <c r="H29" s="1353"/>
      <c r="I29" s="1353"/>
      <c r="J29" s="1353"/>
      <c r="K29" s="1353"/>
      <c r="L29" s="1353"/>
      <c r="M29" s="1353"/>
      <c r="N29" s="1353"/>
      <c r="O29" s="1353"/>
      <c r="P29" s="1353"/>
      <c r="Q29" s="1354"/>
      <c r="R29" s="42"/>
      <c r="S29" s="271"/>
      <c r="T29" s="31"/>
      <c r="U29" s="411">
        <v>23</v>
      </c>
      <c r="V29" s="1353" t="str">
        <f>Cover!BX37</f>
        <v>Other</v>
      </c>
      <c r="W29" s="1353"/>
      <c r="X29" s="1353"/>
      <c r="Y29" s="1353"/>
      <c r="Z29" s="1353"/>
      <c r="AA29" s="1353"/>
      <c r="AB29" s="1353"/>
      <c r="AC29" s="1353"/>
      <c r="AD29" s="1353"/>
      <c r="AE29" s="1353"/>
      <c r="AF29" s="1353"/>
      <c r="AG29" s="1353"/>
      <c r="AH29" s="1353"/>
      <c r="AI29" s="1353"/>
      <c r="AJ29" s="1353"/>
      <c r="AK29" s="1353"/>
      <c r="AL29" s="1353"/>
      <c r="AM29" s="1353"/>
      <c r="AN29" s="1354"/>
    </row>
    <row r="30" spans="1:40" ht="3" customHeight="1" thickBot="1">
      <c r="A30" s="61"/>
      <c r="B30" s="269"/>
      <c r="C30" s="269"/>
      <c r="D30" s="1118"/>
      <c r="E30" s="1118"/>
      <c r="F30" s="1118"/>
      <c r="G30" s="1118"/>
      <c r="H30" s="1118"/>
      <c r="I30" s="1118"/>
      <c r="J30" s="1118"/>
      <c r="K30" s="1118"/>
      <c r="L30" s="1118"/>
      <c r="M30" s="1118"/>
      <c r="N30" s="1118"/>
      <c r="O30" s="1118"/>
      <c r="P30" s="1118"/>
      <c r="Q30" s="1816"/>
      <c r="R30" s="61"/>
      <c r="S30" s="269"/>
      <c r="T30" s="269"/>
      <c r="U30" s="1118"/>
      <c r="V30" s="1118"/>
      <c r="W30" s="1118"/>
      <c r="X30" s="1118"/>
      <c r="Y30" s="1118"/>
      <c r="Z30" s="1118"/>
      <c r="AA30" s="1118"/>
      <c r="AB30" s="1118"/>
      <c r="AC30" s="1118"/>
      <c r="AD30" s="1118"/>
      <c r="AE30" s="1118"/>
      <c r="AF30" s="1118"/>
      <c r="AG30" s="1118"/>
      <c r="AH30" s="1118"/>
      <c r="AI30" s="1118"/>
      <c r="AJ30" s="1118"/>
      <c r="AK30" s="1118"/>
      <c r="AL30" s="1118"/>
      <c r="AM30" s="1118"/>
      <c r="AN30" s="1816"/>
    </row>
    <row r="31" spans="1:40" ht="3" customHeight="1" thickBot="1"/>
    <row r="32" spans="1:40" ht="16.5">
      <c r="A32" s="919" t="str">
        <f>Content!A4</f>
        <v>Supplier/Production plant:</v>
      </c>
      <c r="B32" s="920"/>
      <c r="C32" s="920"/>
      <c r="D32" s="920"/>
      <c r="E32" s="920"/>
      <c r="F32" s="920"/>
      <c r="G32" s="920"/>
      <c r="H32" s="920"/>
      <c r="I32" s="920"/>
      <c r="J32" s="920"/>
      <c r="K32" s="923">
        <f>Cover!H41</f>
        <v>0</v>
      </c>
      <c r="L32" s="923"/>
      <c r="M32" s="923"/>
      <c r="N32" s="923"/>
      <c r="O32" s="923"/>
      <c r="P32" s="923"/>
      <c r="Q32" s="924"/>
      <c r="R32" s="919" t="str">
        <f>Content!Q4</f>
        <v>Customer:</v>
      </c>
      <c r="S32" s="920"/>
      <c r="T32" s="920"/>
      <c r="U32" s="920"/>
      <c r="V32" s="920"/>
      <c r="W32" s="920"/>
      <c r="X32" s="920"/>
      <c r="Y32" s="923">
        <f>Cover!CP41</f>
        <v>0</v>
      </c>
      <c r="Z32" s="923"/>
      <c r="AA32" s="923"/>
      <c r="AB32" s="923"/>
      <c r="AC32" s="923"/>
      <c r="AD32" s="923"/>
      <c r="AE32" s="923"/>
      <c r="AF32" s="923"/>
      <c r="AG32" s="923"/>
      <c r="AH32" s="923"/>
      <c r="AI32" s="923"/>
      <c r="AJ32" s="923"/>
      <c r="AK32" s="923"/>
      <c r="AL32" s="923"/>
      <c r="AM32" s="923"/>
      <c r="AN32" s="924"/>
    </row>
    <row r="33" spans="1:77" ht="16.5" customHeight="1">
      <c r="A33" s="1176" t="str">
        <f>Content!A5</f>
        <v>ID number / DUNS:</v>
      </c>
      <c r="B33" s="1177"/>
      <c r="C33" s="1177"/>
      <c r="D33" s="1177"/>
      <c r="E33" s="1177"/>
      <c r="F33" s="1177"/>
      <c r="G33" s="1177"/>
      <c r="H33" s="1177"/>
      <c r="I33" s="925">
        <f>Cover!AM41</f>
        <v>0</v>
      </c>
      <c r="J33" s="925"/>
      <c r="K33" s="925"/>
      <c r="L33" s="925"/>
      <c r="M33" s="925"/>
      <c r="N33" s="925"/>
      <c r="O33" s="925"/>
      <c r="P33" s="925"/>
      <c r="Q33" s="926"/>
      <c r="R33" s="1176" t="str">
        <f>Content!Q5</f>
        <v>ID number:</v>
      </c>
      <c r="S33" s="1177"/>
      <c r="T33" s="1177"/>
      <c r="U33" s="1177"/>
      <c r="V33" s="1177"/>
      <c r="W33" s="1177"/>
      <c r="X33" s="1177"/>
      <c r="Y33" s="925"/>
      <c r="Z33" s="925"/>
      <c r="AA33" s="925"/>
      <c r="AB33" s="925"/>
      <c r="AC33" s="925"/>
      <c r="AD33" s="925"/>
      <c r="AE33" s="925"/>
      <c r="AF33" s="925"/>
      <c r="AG33" s="925"/>
      <c r="AH33" s="925"/>
      <c r="AI33" s="925"/>
      <c r="AJ33" s="925"/>
      <c r="AK33" s="925"/>
      <c r="AL33" s="925"/>
      <c r="AM33" s="925"/>
      <c r="AN33" s="926"/>
    </row>
    <row r="34" spans="1:77" ht="16.5" customHeight="1">
      <c r="A34" s="1176" t="str">
        <f>Content!A6</f>
        <v>Report No.:</v>
      </c>
      <c r="B34" s="1177"/>
      <c r="C34" s="1177"/>
      <c r="D34" s="1177"/>
      <c r="E34" s="1177"/>
      <c r="F34" s="1177"/>
      <c r="G34" s="925">
        <f>Cover!CP42</f>
        <v>0</v>
      </c>
      <c r="H34" s="925"/>
      <c r="I34" s="925"/>
      <c r="J34" s="925"/>
      <c r="K34" s="925"/>
      <c r="L34" s="1122" t="s">
        <v>69</v>
      </c>
      <c r="M34" s="1122"/>
      <c r="N34" s="927"/>
      <c r="O34" s="927"/>
      <c r="P34" s="927"/>
      <c r="Q34" s="928"/>
      <c r="R34" s="1176" t="str">
        <f>Content!Q6</f>
        <v>Report No.:</v>
      </c>
      <c r="S34" s="1177"/>
      <c r="T34" s="1177"/>
      <c r="U34" s="1177"/>
      <c r="V34" s="1177"/>
      <c r="W34" s="1177"/>
      <c r="X34" s="1177"/>
      <c r="Y34" s="925"/>
      <c r="Z34" s="925"/>
      <c r="AA34" s="925"/>
      <c r="AB34" s="925"/>
      <c r="AC34" s="925"/>
      <c r="AD34" s="925"/>
      <c r="AE34" s="925"/>
      <c r="AF34" s="925"/>
      <c r="AG34" s="925"/>
      <c r="AH34" s="1122" t="s">
        <v>69</v>
      </c>
      <c r="AI34" s="1122"/>
      <c r="AJ34" s="1122"/>
      <c r="AK34" s="927"/>
      <c r="AL34" s="927"/>
      <c r="AM34" s="927"/>
      <c r="AN34" s="928"/>
    </row>
    <row r="35" spans="1:77" ht="16.5" customHeight="1">
      <c r="A35" s="1009" t="str">
        <f>Content!A7</f>
        <v>Part description:</v>
      </c>
      <c r="B35" s="1010"/>
      <c r="C35" s="1010"/>
      <c r="D35" s="1010"/>
      <c r="E35" s="1010"/>
      <c r="F35" s="1010"/>
      <c r="G35" s="938">
        <f>Cover!G42</f>
        <v>0</v>
      </c>
      <c r="H35" s="938"/>
      <c r="I35" s="938"/>
      <c r="J35" s="938"/>
      <c r="K35" s="938"/>
      <c r="L35" s="938"/>
      <c r="M35" s="938"/>
      <c r="N35" s="938"/>
      <c r="O35" s="938"/>
      <c r="P35" s="938"/>
      <c r="Q35" s="939"/>
      <c r="R35" s="1009" t="str">
        <f>Content!A7</f>
        <v>Part description:</v>
      </c>
      <c r="S35" s="1010"/>
      <c r="T35" s="1010"/>
      <c r="U35" s="1010"/>
      <c r="V35" s="1010"/>
      <c r="W35" s="1010"/>
      <c r="X35" s="1010"/>
      <c r="Y35" s="938"/>
      <c r="Z35" s="938"/>
      <c r="AA35" s="938"/>
      <c r="AB35" s="938"/>
      <c r="AC35" s="938"/>
      <c r="AD35" s="938"/>
      <c r="AE35" s="938"/>
      <c r="AF35" s="938"/>
      <c r="AG35" s="938"/>
      <c r="AH35" s="938"/>
      <c r="AI35" s="938"/>
      <c r="AJ35" s="938"/>
      <c r="AK35" s="938"/>
      <c r="AL35" s="938"/>
      <c r="AM35" s="938"/>
      <c r="AN35" s="939"/>
    </row>
    <row r="36" spans="1:77" ht="16.5" customHeight="1">
      <c r="A36" s="1012" t="str">
        <f>Cover!B43</f>
        <v>Part number:</v>
      </c>
      <c r="B36" s="1013"/>
      <c r="C36" s="1013"/>
      <c r="D36" s="1013"/>
      <c r="E36" s="1013"/>
      <c r="F36" s="1013"/>
      <c r="G36" s="1119">
        <f>Cover!G43</f>
        <v>0</v>
      </c>
      <c r="H36" s="1119"/>
      <c r="I36" s="1119"/>
      <c r="J36" s="1119"/>
      <c r="K36" s="1119"/>
      <c r="L36" s="1119"/>
      <c r="M36" s="1119"/>
      <c r="N36" s="1119"/>
      <c r="O36" s="1119"/>
      <c r="P36" s="1119"/>
      <c r="Q36" s="1120"/>
      <c r="R36" s="1012" t="str">
        <f>A36</f>
        <v>Part number:</v>
      </c>
      <c r="S36" s="1013"/>
      <c r="T36" s="1013"/>
      <c r="U36" s="1013"/>
      <c r="V36" s="1013"/>
      <c r="W36" s="1013"/>
      <c r="X36" s="1013"/>
      <c r="Y36" s="1119"/>
      <c r="Z36" s="1119"/>
      <c r="AA36" s="1119"/>
      <c r="AB36" s="1119"/>
      <c r="AC36" s="1119"/>
      <c r="AD36" s="1119"/>
      <c r="AE36" s="1119"/>
      <c r="AF36" s="1119"/>
      <c r="AG36" s="1119"/>
      <c r="AH36" s="1119"/>
      <c r="AI36" s="1119"/>
      <c r="AJ36" s="1119"/>
      <c r="AK36" s="1119"/>
      <c r="AL36" s="1119"/>
      <c r="AM36" s="1119"/>
      <c r="AN36" s="1120"/>
    </row>
    <row r="37" spans="1:77" ht="16.5" customHeight="1">
      <c r="A37" s="1012" t="str">
        <f>Content!Q7</f>
        <v>Drawing number:</v>
      </c>
      <c r="B37" s="1013"/>
      <c r="C37" s="1013"/>
      <c r="D37" s="1013"/>
      <c r="E37" s="1013"/>
      <c r="F37" s="1013"/>
      <c r="G37" s="1013"/>
      <c r="H37" s="1119">
        <f>Cover!G44</f>
        <v>0</v>
      </c>
      <c r="I37" s="1119"/>
      <c r="J37" s="1119"/>
      <c r="K37" s="1119"/>
      <c r="L37" s="1119"/>
      <c r="M37" s="1119"/>
      <c r="N37" s="1119"/>
      <c r="O37" s="1119"/>
      <c r="P37" s="1119"/>
      <c r="Q37" s="1120"/>
      <c r="R37" s="1012" t="str">
        <f>Content!Q7</f>
        <v>Drawing number:</v>
      </c>
      <c r="S37" s="1013"/>
      <c r="T37" s="1013"/>
      <c r="U37" s="1013"/>
      <c r="V37" s="1013"/>
      <c r="W37" s="1013"/>
      <c r="X37" s="1013"/>
      <c r="Y37" s="1013"/>
      <c r="Z37" s="1013"/>
      <c r="AA37" s="1119"/>
      <c r="AB37" s="1119"/>
      <c r="AC37" s="1119"/>
      <c r="AD37" s="1119"/>
      <c r="AE37" s="1119"/>
      <c r="AF37" s="1119"/>
      <c r="AG37" s="1119"/>
      <c r="AH37" s="1119"/>
      <c r="AI37" s="1119"/>
      <c r="AJ37" s="1119"/>
      <c r="AK37" s="1119"/>
      <c r="AL37" s="1119"/>
      <c r="AM37" s="1119"/>
      <c r="AN37" s="1120"/>
    </row>
    <row r="38" spans="1:77" ht="16.5" customHeight="1" thickBot="1">
      <c r="A38" s="1175" t="str">
        <f>Content!Q8</f>
        <v>Issue / Date:</v>
      </c>
      <c r="B38" s="900"/>
      <c r="C38" s="900"/>
      <c r="D38" s="900"/>
      <c r="E38" s="900"/>
      <c r="F38" s="900"/>
      <c r="G38" s="940">
        <f>Cover!G45</f>
        <v>0</v>
      </c>
      <c r="H38" s="940"/>
      <c r="I38" s="940"/>
      <c r="J38" s="940"/>
      <c r="K38" s="940"/>
      <c r="L38" s="940"/>
      <c r="M38" s="940"/>
      <c r="N38" s="940"/>
      <c r="O38" s="940"/>
      <c r="P38" s="940"/>
      <c r="Q38" s="941"/>
      <c r="R38" s="1175" t="str">
        <f>Content!Q8</f>
        <v>Issue / Date:</v>
      </c>
      <c r="S38" s="900"/>
      <c r="T38" s="900"/>
      <c r="U38" s="900"/>
      <c r="V38" s="900"/>
      <c r="W38" s="900"/>
      <c r="X38" s="900"/>
      <c r="Y38" s="940"/>
      <c r="Z38" s="940"/>
      <c r="AA38" s="940"/>
      <c r="AB38" s="940"/>
      <c r="AC38" s="940"/>
      <c r="AD38" s="940"/>
      <c r="AE38" s="940"/>
      <c r="AF38" s="940"/>
      <c r="AG38" s="940"/>
      <c r="AH38" s="940"/>
      <c r="AI38" s="940"/>
      <c r="AJ38" s="940"/>
      <c r="AK38" s="940"/>
      <c r="AL38" s="940"/>
      <c r="AM38" s="940"/>
      <c r="AN38" s="941"/>
    </row>
    <row r="39" spans="1:77" s="113" customFormat="1" ht="3" customHeight="1" thickBot="1">
      <c r="A39" s="130"/>
      <c r="B39" s="130"/>
      <c r="C39" s="130"/>
      <c r="D39" s="130"/>
      <c r="E39" s="130"/>
      <c r="F39" s="130"/>
      <c r="G39" s="131"/>
      <c r="H39" s="131"/>
      <c r="I39" s="131"/>
      <c r="J39" s="131"/>
      <c r="K39" s="131"/>
      <c r="L39" s="131"/>
      <c r="M39" s="131"/>
      <c r="N39" s="131"/>
      <c r="O39" s="131"/>
      <c r="P39" s="131"/>
      <c r="Q39" s="131"/>
      <c r="R39" s="130"/>
      <c r="S39" s="130"/>
      <c r="T39" s="130"/>
      <c r="U39" s="130"/>
      <c r="V39" s="130"/>
      <c r="W39" s="130"/>
      <c r="X39" s="130"/>
      <c r="Y39" s="131"/>
      <c r="Z39" s="131"/>
      <c r="AA39" s="131"/>
      <c r="AB39" s="131"/>
      <c r="AC39" s="131"/>
      <c r="AD39" s="131"/>
      <c r="AE39" s="131"/>
      <c r="AF39" s="131"/>
      <c r="AG39" s="131"/>
      <c r="AH39" s="131"/>
      <c r="AI39" s="131"/>
      <c r="AJ39" s="131"/>
      <c r="AK39" s="131"/>
      <c r="AL39" s="131"/>
      <c r="AM39" s="131"/>
      <c r="AN39" s="131"/>
    </row>
    <row r="40" spans="1:77" ht="48" customHeight="1" thickBot="1">
      <c r="A40" s="1810" t="str">
        <f>VLOOKUP("nr",Translations!$A:$T,MATCH(Cover!DR19,Translations!A2:P2,0),0)</f>
        <v>No.</v>
      </c>
      <c r="B40" s="1811"/>
      <c r="C40" s="1811"/>
      <c r="D40" s="1808"/>
      <c r="E40" s="1808" t="str">
        <f>VLOOKUP("beschreibung der änderung",Translations!$A:$T,MATCH(Cover!DR19,Translations!A2:P2,0),0)</f>
        <v>Description of the change</v>
      </c>
      <c r="F40" s="1808"/>
      <c r="G40" s="1808"/>
      <c r="H40" s="1808"/>
      <c r="I40" s="1808"/>
      <c r="J40" s="1808"/>
      <c r="K40" s="1808"/>
      <c r="L40" s="1808" t="str">
        <f>VLOOKUP("grund",Translations!$A:$T,MATCH(Cover!DR19,Translations!A2:P2,0),0)</f>
        <v>Reason</v>
      </c>
      <c r="M40" s="1808"/>
      <c r="N40" s="1808" t="str">
        <f>VLOOKUP("reifegrad",Translations!$A:$T,MATCH(Cover!DR19,Translations!A2:P2,0),0)</f>
        <v>Maturity level</v>
      </c>
      <c r="O40" s="1808"/>
      <c r="P40" s="1808"/>
      <c r="Q40" s="1808"/>
      <c r="R40" s="1808" t="str">
        <f>VLOOKUP("freigegeben durch",Translations!$A:$T,MATCH(Cover!DR19,Translations!A2:P2,0),0)</f>
        <v>Approved by</v>
      </c>
      <c r="S40" s="1808"/>
      <c r="T40" s="1808"/>
      <c r="U40" s="1808"/>
      <c r="V40" s="1808"/>
      <c r="W40" s="1808"/>
      <c r="X40" s="1812" t="str">
        <f>VLOOKUP("eingeführt mit (los/datum)",Translations!$A:$T,MATCH(Cover!DR19,Translations!A2:P2,0),0)</f>
        <v>Introduction on (production lot/ date)</v>
      </c>
      <c r="Y40" s="1813"/>
      <c r="Z40" s="1813"/>
      <c r="AA40" s="1811"/>
      <c r="AB40" s="1813" t="str">
        <f>VLOOKUP("z-index",Translations!$A:$T,MATCH(Cover!DR19,Translations!A2:P2,0),0)</f>
        <v>Drawing index</v>
      </c>
      <c r="AC40" s="1813"/>
      <c r="AD40" s="1813"/>
      <c r="AE40" s="1811"/>
      <c r="AF40" s="1808" t="str">
        <f>VLOOKUP("anmerkung",Translations!$A:$T,MATCH(Cover!DR19,Translations!A2:P2,0),0)</f>
        <v>Comment</v>
      </c>
      <c r="AG40" s="1808"/>
      <c r="AH40" s="1808"/>
      <c r="AI40" s="1808"/>
      <c r="AJ40" s="1808"/>
      <c r="AK40" s="1808"/>
      <c r="AL40" s="1808"/>
      <c r="AM40" s="1808"/>
      <c r="AN40" s="1809"/>
    </row>
    <row r="41" spans="1:77" ht="50.25" customHeight="1">
      <c r="A41" s="1286"/>
      <c r="B41" s="1259"/>
      <c r="C41" s="1259"/>
      <c r="D41" s="1260"/>
      <c r="E41" s="1329"/>
      <c r="F41" s="1330"/>
      <c r="G41" s="1330"/>
      <c r="H41" s="1330"/>
      <c r="I41" s="1330"/>
      <c r="J41" s="1330"/>
      <c r="K41" s="1814"/>
      <c r="L41" s="1258"/>
      <c r="M41" s="1260"/>
      <c r="N41" s="1258"/>
      <c r="O41" s="1259"/>
      <c r="P41" s="1259"/>
      <c r="Q41" s="1260"/>
      <c r="R41" s="1258"/>
      <c r="S41" s="1259"/>
      <c r="T41" s="1259"/>
      <c r="U41" s="1259"/>
      <c r="V41" s="1259"/>
      <c r="W41" s="1260"/>
      <c r="X41" s="1258"/>
      <c r="Y41" s="1259"/>
      <c r="Z41" s="1259"/>
      <c r="AA41" s="1260"/>
      <c r="AB41" s="1815"/>
      <c r="AC41" s="1259"/>
      <c r="AD41" s="1259"/>
      <c r="AE41" s="1260"/>
      <c r="AF41" s="1329"/>
      <c r="AG41" s="1330"/>
      <c r="AH41" s="1330"/>
      <c r="AI41" s="1330"/>
      <c r="AJ41" s="1330"/>
      <c r="AK41" s="1330"/>
      <c r="AL41" s="1330"/>
      <c r="AM41" s="1330"/>
      <c r="AN41" s="1331"/>
      <c r="AP41" s="82"/>
      <c r="AQ41" s="82"/>
      <c r="AR41" s="82"/>
      <c r="AS41" s="82"/>
      <c r="AT41" s="82"/>
      <c r="AU41" s="82"/>
      <c r="AV41" s="82"/>
      <c r="AW41" s="82"/>
      <c r="AX41" s="82"/>
      <c r="AY41" s="82"/>
      <c r="AZ41" s="82"/>
      <c r="BA41" s="82"/>
      <c r="BB41" s="82"/>
      <c r="BC41" s="82"/>
      <c r="BD41" s="82"/>
      <c r="BE41" s="82"/>
      <c r="BF41" s="82"/>
      <c r="BG41" s="82"/>
      <c r="BH41" s="82"/>
      <c r="BI41" s="82"/>
      <c r="BJ41" s="82"/>
      <c r="BK41" s="82"/>
      <c r="BL41" s="82"/>
      <c r="BM41" s="82"/>
      <c r="BN41" s="82"/>
      <c r="BO41" s="82"/>
      <c r="BP41" s="82"/>
      <c r="BQ41" s="82"/>
      <c r="BR41" s="82"/>
      <c r="BS41" s="82"/>
      <c r="BT41" s="82"/>
      <c r="BU41" s="82"/>
      <c r="BV41" s="82"/>
      <c r="BW41" s="82"/>
      <c r="BX41" s="82"/>
      <c r="BY41" s="82"/>
    </row>
    <row r="42" spans="1:77" ht="50.25" customHeight="1">
      <c r="A42" s="1257"/>
      <c r="B42" s="1227"/>
      <c r="C42" s="1227"/>
      <c r="D42" s="1248"/>
      <c r="E42" s="1317"/>
      <c r="F42" s="1318"/>
      <c r="G42" s="1318"/>
      <c r="H42" s="1318"/>
      <c r="I42" s="1318"/>
      <c r="J42" s="1318"/>
      <c r="K42" s="1800"/>
      <c r="L42" s="1226"/>
      <c r="M42" s="1248"/>
      <c r="N42" s="1226"/>
      <c r="O42" s="1227"/>
      <c r="P42" s="1227"/>
      <c r="Q42" s="1248"/>
      <c r="R42" s="1226"/>
      <c r="S42" s="1227"/>
      <c r="T42" s="1227"/>
      <c r="U42" s="1227"/>
      <c r="V42" s="1227"/>
      <c r="W42" s="1248"/>
      <c r="X42" s="1226"/>
      <c r="Y42" s="1227"/>
      <c r="Z42" s="1227"/>
      <c r="AA42" s="1248"/>
      <c r="AB42" s="1817"/>
      <c r="AC42" s="1227"/>
      <c r="AD42" s="1227"/>
      <c r="AE42" s="1248"/>
      <c r="AF42" s="1317"/>
      <c r="AG42" s="1318"/>
      <c r="AH42" s="1318"/>
      <c r="AI42" s="1318"/>
      <c r="AJ42" s="1318"/>
      <c r="AK42" s="1318"/>
      <c r="AL42" s="1318"/>
      <c r="AM42" s="1318"/>
      <c r="AN42" s="1319"/>
      <c r="AP42" s="82"/>
      <c r="AQ42" s="82"/>
      <c r="AR42" s="82"/>
      <c r="AS42" s="82"/>
      <c r="AT42" s="82"/>
      <c r="AU42" s="82"/>
      <c r="AV42" s="82"/>
      <c r="AW42" s="82"/>
      <c r="AX42" s="82"/>
      <c r="AY42" s="82"/>
      <c r="AZ42" s="82"/>
      <c r="BA42" s="82"/>
      <c r="BB42" s="82"/>
      <c r="BC42" s="82"/>
      <c r="BD42" s="82"/>
      <c r="BE42" s="82"/>
      <c r="BF42" s="82"/>
      <c r="BG42" s="82"/>
      <c r="BH42" s="82"/>
      <c r="BI42" s="82"/>
      <c r="BJ42" s="82"/>
      <c r="BK42" s="82"/>
      <c r="BL42" s="82"/>
      <c r="BM42" s="82"/>
      <c r="BN42" s="82"/>
      <c r="BO42" s="82"/>
      <c r="BP42" s="82"/>
      <c r="BQ42" s="82"/>
      <c r="BR42" s="82"/>
      <c r="BS42" s="82"/>
      <c r="BT42" s="82"/>
      <c r="BU42" s="82"/>
      <c r="BV42" s="82"/>
      <c r="BW42" s="82"/>
      <c r="BX42" s="82"/>
      <c r="BY42" s="82"/>
    </row>
    <row r="43" spans="1:77" ht="50.25" customHeight="1">
      <c r="A43" s="1257"/>
      <c r="B43" s="1227"/>
      <c r="C43" s="1227"/>
      <c r="D43" s="1248"/>
      <c r="E43" s="1317"/>
      <c r="F43" s="1318"/>
      <c r="G43" s="1318"/>
      <c r="H43" s="1318"/>
      <c r="I43" s="1318"/>
      <c r="J43" s="1318"/>
      <c r="K43" s="1800"/>
      <c r="L43" s="1226"/>
      <c r="M43" s="1248"/>
      <c r="N43" s="1226"/>
      <c r="O43" s="1227"/>
      <c r="P43" s="1227"/>
      <c r="Q43" s="1248"/>
      <c r="R43" s="1226"/>
      <c r="S43" s="1227"/>
      <c r="T43" s="1227"/>
      <c r="U43" s="1227"/>
      <c r="V43" s="1227"/>
      <c r="W43" s="1248"/>
      <c r="X43" s="1226"/>
      <c r="Y43" s="1227"/>
      <c r="Z43" s="1227"/>
      <c r="AA43" s="1248"/>
      <c r="AB43" s="1817"/>
      <c r="AC43" s="1227"/>
      <c r="AD43" s="1227"/>
      <c r="AE43" s="1248"/>
      <c r="AF43" s="1317"/>
      <c r="AG43" s="1318"/>
      <c r="AH43" s="1318"/>
      <c r="AI43" s="1318"/>
      <c r="AJ43" s="1318"/>
      <c r="AK43" s="1318"/>
      <c r="AL43" s="1318"/>
      <c r="AM43" s="1318"/>
      <c r="AN43" s="1319"/>
      <c r="AP43" s="82"/>
      <c r="AQ43" s="82"/>
      <c r="AR43" s="82"/>
      <c r="AS43" s="82"/>
      <c r="AT43" s="82"/>
      <c r="AU43" s="82"/>
      <c r="AV43" s="82"/>
      <c r="AW43" s="82"/>
      <c r="AX43" s="82"/>
      <c r="AY43" s="82"/>
      <c r="AZ43" s="82"/>
      <c r="BA43" s="82"/>
      <c r="BB43" s="82"/>
      <c r="BC43" s="82"/>
      <c r="BD43" s="82"/>
      <c r="BE43" s="82"/>
      <c r="BF43" s="82"/>
      <c r="BG43" s="82"/>
      <c r="BH43" s="82"/>
      <c r="BI43" s="82"/>
      <c r="BJ43" s="82"/>
      <c r="BK43" s="82"/>
      <c r="BL43" s="82"/>
      <c r="BM43" s="82"/>
      <c r="BN43" s="82"/>
      <c r="BO43" s="82"/>
      <c r="BP43" s="82"/>
      <c r="BQ43" s="82"/>
      <c r="BR43" s="82"/>
      <c r="BS43" s="82"/>
      <c r="BT43" s="82"/>
      <c r="BU43" s="82"/>
      <c r="BV43" s="82"/>
      <c r="BW43" s="82"/>
      <c r="BX43" s="82"/>
      <c r="BY43" s="82"/>
    </row>
    <row r="44" spans="1:77" ht="50.25" customHeight="1">
      <c r="A44" s="1257"/>
      <c r="B44" s="1227"/>
      <c r="C44" s="1227"/>
      <c r="D44" s="1248"/>
      <c r="E44" s="1317"/>
      <c r="F44" s="1318"/>
      <c r="G44" s="1318"/>
      <c r="H44" s="1318"/>
      <c r="I44" s="1318"/>
      <c r="J44" s="1318"/>
      <c r="K44" s="1800"/>
      <c r="L44" s="1226"/>
      <c r="M44" s="1248"/>
      <c r="N44" s="1226"/>
      <c r="O44" s="1227"/>
      <c r="P44" s="1227"/>
      <c r="Q44" s="1248"/>
      <c r="R44" s="1226"/>
      <c r="S44" s="1227"/>
      <c r="T44" s="1227"/>
      <c r="U44" s="1227"/>
      <c r="V44" s="1227"/>
      <c r="W44" s="1248"/>
      <c r="X44" s="1226"/>
      <c r="Y44" s="1227"/>
      <c r="Z44" s="1227"/>
      <c r="AA44" s="1248"/>
      <c r="AB44" s="1817"/>
      <c r="AC44" s="1227"/>
      <c r="AD44" s="1227"/>
      <c r="AE44" s="1248"/>
      <c r="AF44" s="1317"/>
      <c r="AG44" s="1318"/>
      <c r="AH44" s="1318"/>
      <c r="AI44" s="1318"/>
      <c r="AJ44" s="1318"/>
      <c r="AK44" s="1318"/>
      <c r="AL44" s="1318"/>
      <c r="AM44" s="1318"/>
      <c r="AN44" s="1319"/>
      <c r="AP44" s="82"/>
      <c r="AQ44" s="82"/>
      <c r="AR44" s="82"/>
      <c r="AS44" s="82"/>
      <c r="AT44" s="82"/>
      <c r="AU44" s="82"/>
      <c r="AV44" s="82"/>
      <c r="AW44" s="82"/>
      <c r="AX44" s="82"/>
      <c r="AY44" s="82"/>
      <c r="AZ44" s="82"/>
      <c r="BA44" s="82"/>
      <c r="BB44" s="82"/>
      <c r="BC44" s="82"/>
      <c r="BD44" s="82"/>
      <c r="BE44" s="82"/>
      <c r="BF44" s="82"/>
      <c r="BG44" s="82"/>
      <c r="BH44" s="82"/>
      <c r="BI44" s="82"/>
      <c r="BJ44" s="82"/>
      <c r="BK44" s="82"/>
      <c r="BL44" s="82"/>
      <c r="BM44" s="82"/>
      <c r="BN44" s="82"/>
      <c r="BO44" s="82"/>
      <c r="BP44" s="82"/>
      <c r="BQ44" s="82"/>
      <c r="BR44" s="82"/>
      <c r="BS44" s="82"/>
      <c r="BT44" s="82"/>
      <c r="BU44" s="82"/>
      <c r="BV44" s="82"/>
      <c r="BW44" s="82"/>
      <c r="BX44" s="82"/>
      <c r="BY44" s="82"/>
    </row>
    <row r="45" spans="1:77" ht="50.25" customHeight="1">
      <c r="A45" s="1257"/>
      <c r="B45" s="1227"/>
      <c r="C45" s="1227"/>
      <c r="D45" s="1248"/>
      <c r="E45" s="1317"/>
      <c r="F45" s="1318"/>
      <c r="G45" s="1318"/>
      <c r="H45" s="1318"/>
      <c r="I45" s="1318"/>
      <c r="J45" s="1318"/>
      <c r="K45" s="1800"/>
      <c r="L45" s="1226"/>
      <c r="M45" s="1248"/>
      <c r="N45" s="1226"/>
      <c r="O45" s="1227"/>
      <c r="P45" s="1227"/>
      <c r="Q45" s="1248"/>
      <c r="R45" s="1226"/>
      <c r="S45" s="1227"/>
      <c r="T45" s="1227"/>
      <c r="U45" s="1227"/>
      <c r="V45" s="1227"/>
      <c r="W45" s="1248"/>
      <c r="X45" s="1226"/>
      <c r="Y45" s="1227"/>
      <c r="Z45" s="1227"/>
      <c r="AA45" s="1248"/>
      <c r="AB45" s="1817"/>
      <c r="AC45" s="1227"/>
      <c r="AD45" s="1227"/>
      <c r="AE45" s="1248"/>
      <c r="AF45" s="1317"/>
      <c r="AG45" s="1318"/>
      <c r="AH45" s="1318"/>
      <c r="AI45" s="1318"/>
      <c r="AJ45" s="1318"/>
      <c r="AK45" s="1318"/>
      <c r="AL45" s="1318"/>
      <c r="AM45" s="1318"/>
      <c r="AN45" s="1319"/>
      <c r="AP45" s="82"/>
      <c r="AQ45" s="82"/>
      <c r="AR45" s="82"/>
      <c r="AS45" s="82"/>
      <c r="AT45" s="82"/>
      <c r="AU45" s="82"/>
      <c r="AV45" s="82"/>
      <c r="AW45" s="82"/>
      <c r="AX45" s="82"/>
      <c r="AY45" s="82"/>
      <c r="AZ45" s="82"/>
      <c r="BA45" s="82"/>
      <c r="BB45" s="82"/>
      <c r="BC45" s="82"/>
      <c r="BD45" s="82"/>
      <c r="BE45" s="82"/>
      <c r="BF45" s="82"/>
      <c r="BG45" s="82"/>
      <c r="BH45" s="82"/>
      <c r="BI45" s="82"/>
      <c r="BJ45" s="82"/>
      <c r="BK45" s="82"/>
      <c r="BL45" s="82"/>
      <c r="BM45" s="82"/>
      <c r="BN45" s="82"/>
      <c r="BO45" s="82"/>
      <c r="BP45" s="82"/>
      <c r="BQ45" s="82"/>
      <c r="BR45" s="82"/>
      <c r="BS45" s="82"/>
      <c r="BT45" s="82"/>
      <c r="BU45" s="82"/>
      <c r="BV45" s="82"/>
      <c r="BW45" s="82"/>
      <c r="BX45" s="82"/>
      <c r="BY45" s="82"/>
    </row>
    <row r="46" spans="1:77" ht="50.25" customHeight="1">
      <c r="A46" s="1257"/>
      <c r="B46" s="1227"/>
      <c r="C46" s="1227"/>
      <c r="D46" s="1248"/>
      <c r="E46" s="1317"/>
      <c r="F46" s="1318"/>
      <c r="G46" s="1318"/>
      <c r="H46" s="1318"/>
      <c r="I46" s="1318"/>
      <c r="J46" s="1318"/>
      <c r="K46" s="1800"/>
      <c r="L46" s="1226"/>
      <c r="M46" s="1248"/>
      <c r="N46" s="1226"/>
      <c r="O46" s="1227"/>
      <c r="P46" s="1227"/>
      <c r="Q46" s="1248"/>
      <c r="R46" s="1226"/>
      <c r="S46" s="1227"/>
      <c r="T46" s="1227"/>
      <c r="U46" s="1227"/>
      <c r="V46" s="1227"/>
      <c r="W46" s="1248"/>
      <c r="X46" s="1226"/>
      <c r="Y46" s="1227"/>
      <c r="Z46" s="1227"/>
      <c r="AA46" s="1248"/>
      <c r="AB46" s="1817"/>
      <c r="AC46" s="1227"/>
      <c r="AD46" s="1227"/>
      <c r="AE46" s="1248"/>
      <c r="AF46" s="1317"/>
      <c r="AG46" s="1318"/>
      <c r="AH46" s="1318"/>
      <c r="AI46" s="1318"/>
      <c r="AJ46" s="1318"/>
      <c r="AK46" s="1318"/>
      <c r="AL46" s="1318"/>
      <c r="AM46" s="1318"/>
      <c r="AN46" s="1319"/>
      <c r="AP46" s="82"/>
      <c r="AQ46" s="82"/>
      <c r="AR46" s="82"/>
      <c r="AS46" s="82"/>
      <c r="AT46" s="82"/>
      <c r="AU46" s="82"/>
      <c r="AV46" s="82"/>
      <c r="AW46" s="82"/>
      <c r="AX46" s="82"/>
      <c r="AY46" s="82"/>
      <c r="AZ46" s="82"/>
      <c r="BA46" s="82"/>
      <c r="BB46" s="82"/>
      <c r="BC46" s="82"/>
      <c r="BD46" s="82"/>
      <c r="BE46" s="82"/>
      <c r="BF46" s="82"/>
      <c r="BG46" s="82"/>
      <c r="BH46" s="82"/>
      <c r="BI46" s="82"/>
      <c r="BJ46" s="82"/>
      <c r="BK46" s="82"/>
      <c r="BL46" s="82"/>
      <c r="BM46" s="82"/>
      <c r="BN46" s="82"/>
      <c r="BO46" s="82"/>
      <c r="BP46" s="82"/>
      <c r="BQ46" s="82"/>
      <c r="BR46" s="82"/>
      <c r="BS46" s="82"/>
      <c r="BT46" s="82"/>
      <c r="BU46" s="82"/>
      <c r="BV46" s="82"/>
      <c r="BW46" s="82"/>
      <c r="BX46" s="82"/>
      <c r="BY46" s="82"/>
    </row>
    <row r="47" spans="1:77" ht="50.25" customHeight="1">
      <c r="A47" s="1257"/>
      <c r="B47" s="1227"/>
      <c r="C47" s="1227"/>
      <c r="D47" s="1248"/>
      <c r="E47" s="1317"/>
      <c r="F47" s="1318"/>
      <c r="G47" s="1318"/>
      <c r="H47" s="1318"/>
      <c r="I47" s="1318"/>
      <c r="J47" s="1318"/>
      <c r="K47" s="1800"/>
      <c r="L47" s="1226"/>
      <c r="M47" s="1248"/>
      <c r="N47" s="1226"/>
      <c r="O47" s="1227"/>
      <c r="P47" s="1227"/>
      <c r="Q47" s="1248"/>
      <c r="R47" s="1226"/>
      <c r="S47" s="1227"/>
      <c r="T47" s="1227"/>
      <c r="U47" s="1227"/>
      <c r="V47" s="1227"/>
      <c r="W47" s="1248"/>
      <c r="X47" s="1226"/>
      <c r="Y47" s="1227"/>
      <c r="Z47" s="1227"/>
      <c r="AA47" s="1248"/>
      <c r="AB47" s="1817"/>
      <c r="AC47" s="1227"/>
      <c r="AD47" s="1227"/>
      <c r="AE47" s="1248"/>
      <c r="AF47" s="1317"/>
      <c r="AG47" s="1318"/>
      <c r="AH47" s="1318"/>
      <c r="AI47" s="1318"/>
      <c r="AJ47" s="1318"/>
      <c r="AK47" s="1318"/>
      <c r="AL47" s="1318"/>
      <c r="AM47" s="1318"/>
      <c r="AN47" s="1319"/>
      <c r="AP47" s="82"/>
      <c r="AQ47" s="82"/>
      <c r="AR47" s="82"/>
      <c r="AS47" s="82"/>
      <c r="AT47" s="82"/>
      <c r="AU47" s="82"/>
      <c r="AV47" s="82"/>
      <c r="AW47" s="82"/>
      <c r="AX47" s="82"/>
      <c r="AY47" s="82"/>
      <c r="AZ47" s="82"/>
      <c r="BA47" s="82"/>
      <c r="BB47" s="82"/>
      <c r="BC47" s="82"/>
      <c r="BD47" s="82"/>
      <c r="BE47" s="82"/>
      <c r="BF47" s="82"/>
      <c r="BG47" s="82"/>
      <c r="BH47" s="82"/>
      <c r="BI47" s="82"/>
      <c r="BJ47" s="82"/>
      <c r="BK47" s="82"/>
      <c r="BL47" s="82"/>
      <c r="BM47" s="82"/>
      <c r="BN47" s="82"/>
      <c r="BO47" s="82"/>
      <c r="BP47" s="82"/>
      <c r="BQ47" s="82"/>
      <c r="BR47" s="82"/>
      <c r="BS47" s="82"/>
      <c r="BT47" s="82"/>
      <c r="BU47" s="82"/>
      <c r="BV47" s="82"/>
      <c r="BW47" s="82"/>
      <c r="BX47" s="82"/>
      <c r="BY47" s="82"/>
    </row>
    <row r="48" spans="1:77" ht="50.25" customHeight="1">
      <c r="A48" s="1257"/>
      <c r="B48" s="1227"/>
      <c r="C48" s="1227"/>
      <c r="D48" s="1248"/>
      <c r="E48" s="1317"/>
      <c r="F48" s="1318"/>
      <c r="G48" s="1318"/>
      <c r="H48" s="1318"/>
      <c r="I48" s="1318"/>
      <c r="J48" s="1318"/>
      <c r="K48" s="1800"/>
      <c r="L48" s="1226"/>
      <c r="M48" s="1248"/>
      <c r="N48" s="1226"/>
      <c r="O48" s="1227"/>
      <c r="P48" s="1227"/>
      <c r="Q48" s="1248"/>
      <c r="R48" s="1226"/>
      <c r="S48" s="1227"/>
      <c r="T48" s="1227"/>
      <c r="U48" s="1227"/>
      <c r="V48" s="1227"/>
      <c r="W48" s="1248"/>
      <c r="X48" s="1226"/>
      <c r="Y48" s="1227"/>
      <c r="Z48" s="1227"/>
      <c r="AA48" s="1248"/>
      <c r="AB48" s="1817"/>
      <c r="AC48" s="1227"/>
      <c r="AD48" s="1227"/>
      <c r="AE48" s="1248"/>
      <c r="AF48" s="1317"/>
      <c r="AG48" s="1318"/>
      <c r="AH48" s="1318"/>
      <c r="AI48" s="1318"/>
      <c r="AJ48" s="1318"/>
      <c r="AK48" s="1318"/>
      <c r="AL48" s="1318"/>
      <c r="AM48" s="1318"/>
      <c r="AN48" s="1319"/>
      <c r="AP48" s="82"/>
      <c r="AQ48" s="82"/>
      <c r="AR48" s="82"/>
      <c r="AS48" s="82"/>
      <c r="AT48" s="82"/>
      <c r="AU48" s="82"/>
      <c r="AV48" s="82"/>
      <c r="AW48" s="82"/>
      <c r="AX48" s="82"/>
      <c r="AY48" s="82"/>
      <c r="AZ48" s="82"/>
      <c r="BA48" s="82"/>
      <c r="BB48" s="82"/>
      <c r="BC48" s="82"/>
      <c r="BD48" s="82"/>
      <c r="BE48" s="82"/>
      <c r="BF48" s="82"/>
      <c r="BG48" s="82"/>
      <c r="BH48" s="82"/>
      <c r="BI48" s="82"/>
      <c r="BJ48" s="82"/>
      <c r="BK48" s="82"/>
      <c r="BL48" s="82"/>
      <c r="BM48" s="82"/>
      <c r="BN48" s="82"/>
      <c r="BO48" s="82"/>
      <c r="BP48" s="82"/>
      <c r="BQ48" s="82"/>
      <c r="BR48" s="82"/>
      <c r="BS48" s="82"/>
      <c r="BT48" s="82"/>
      <c r="BU48" s="82"/>
      <c r="BV48" s="82"/>
      <c r="BW48" s="82"/>
      <c r="BX48" s="82"/>
      <c r="BY48" s="82"/>
    </row>
    <row r="49" spans="1:77" ht="50.25" customHeight="1">
      <c r="A49" s="1822"/>
      <c r="B49" s="1823"/>
      <c r="C49" s="1823"/>
      <c r="D49" s="1824"/>
      <c r="E49" s="1825"/>
      <c r="F49" s="1826"/>
      <c r="G49" s="1826"/>
      <c r="H49" s="1826"/>
      <c r="I49" s="1826"/>
      <c r="J49" s="1826"/>
      <c r="K49" s="1827"/>
      <c r="L49" s="1828"/>
      <c r="M49" s="1824"/>
      <c r="N49" s="1828"/>
      <c r="O49" s="1823"/>
      <c r="P49" s="1823"/>
      <c r="Q49" s="1824"/>
      <c r="R49" s="1828"/>
      <c r="S49" s="1823"/>
      <c r="T49" s="1823"/>
      <c r="U49" s="1823"/>
      <c r="V49" s="1823"/>
      <c r="W49" s="1824"/>
      <c r="X49" s="1828"/>
      <c r="Y49" s="1823"/>
      <c r="Z49" s="1823"/>
      <c r="AA49" s="1824"/>
      <c r="AB49" s="1829"/>
      <c r="AC49" s="1823"/>
      <c r="AD49" s="1823"/>
      <c r="AE49" s="1824"/>
      <c r="AF49" s="1825"/>
      <c r="AG49" s="1826"/>
      <c r="AH49" s="1826"/>
      <c r="AI49" s="1826"/>
      <c r="AJ49" s="1826"/>
      <c r="AK49" s="1826"/>
      <c r="AL49" s="1826"/>
      <c r="AM49" s="1826"/>
      <c r="AN49" s="1830"/>
      <c r="AP49" s="82"/>
      <c r="AQ49" s="82"/>
      <c r="AR49" s="82"/>
      <c r="AS49" s="82"/>
      <c r="AT49" s="82"/>
      <c r="AU49" s="82"/>
      <c r="AV49" s="82"/>
      <c r="AW49" s="82"/>
      <c r="AX49" s="82"/>
      <c r="AY49" s="82"/>
      <c r="AZ49" s="82"/>
      <c r="BA49" s="82"/>
      <c r="BB49" s="82"/>
      <c r="BC49" s="82"/>
      <c r="BD49" s="82"/>
      <c r="BE49" s="82"/>
      <c r="BF49" s="82"/>
      <c r="BG49" s="82"/>
      <c r="BH49" s="82"/>
      <c r="BI49" s="82"/>
      <c r="BJ49" s="82"/>
      <c r="BK49" s="82"/>
      <c r="BL49" s="82"/>
      <c r="BM49" s="82"/>
      <c r="BN49" s="82"/>
      <c r="BO49" s="82"/>
      <c r="BP49" s="82"/>
      <c r="BQ49" s="82"/>
      <c r="BR49" s="82"/>
      <c r="BS49" s="82"/>
      <c r="BT49" s="82"/>
      <c r="BU49" s="82"/>
      <c r="BV49" s="82"/>
      <c r="BW49" s="82"/>
      <c r="BX49" s="82"/>
      <c r="BY49" s="82"/>
    </row>
    <row r="50" spans="1:77" ht="50.25" customHeight="1">
      <c r="A50" s="1257"/>
      <c r="B50" s="1227"/>
      <c r="C50" s="1227"/>
      <c r="D50" s="1248"/>
      <c r="E50" s="1317"/>
      <c r="F50" s="1318"/>
      <c r="G50" s="1318"/>
      <c r="H50" s="1318"/>
      <c r="I50" s="1318"/>
      <c r="J50" s="1318"/>
      <c r="K50" s="1800"/>
      <c r="L50" s="1226"/>
      <c r="M50" s="1248"/>
      <c r="N50" s="1226"/>
      <c r="O50" s="1227"/>
      <c r="P50" s="1227"/>
      <c r="Q50" s="1248"/>
      <c r="R50" s="1226"/>
      <c r="S50" s="1227"/>
      <c r="T50" s="1227"/>
      <c r="U50" s="1227"/>
      <c r="V50" s="1227"/>
      <c r="W50" s="1248"/>
      <c r="X50" s="1226"/>
      <c r="Y50" s="1227"/>
      <c r="Z50" s="1227"/>
      <c r="AA50" s="1248"/>
      <c r="AB50" s="1226"/>
      <c r="AC50" s="1227"/>
      <c r="AD50" s="1227"/>
      <c r="AE50" s="1248"/>
      <c r="AF50" s="1317"/>
      <c r="AG50" s="1318"/>
      <c r="AH50" s="1318"/>
      <c r="AI50" s="1318"/>
      <c r="AJ50" s="1318"/>
      <c r="AK50" s="1318"/>
      <c r="AL50" s="1318"/>
      <c r="AM50" s="1318"/>
      <c r="AN50" s="1319"/>
    </row>
    <row r="51" spans="1:77" ht="50.25" customHeight="1">
      <c r="A51" s="1257"/>
      <c r="B51" s="1227"/>
      <c r="C51" s="1227"/>
      <c r="D51" s="1248"/>
      <c r="E51" s="1317"/>
      <c r="F51" s="1318"/>
      <c r="G51" s="1318"/>
      <c r="H51" s="1318"/>
      <c r="I51" s="1318"/>
      <c r="J51" s="1318"/>
      <c r="K51" s="1800"/>
      <c r="L51" s="1226"/>
      <c r="M51" s="1248"/>
      <c r="N51" s="1226"/>
      <c r="O51" s="1227"/>
      <c r="P51" s="1227"/>
      <c r="Q51" s="1248"/>
      <c r="R51" s="1226"/>
      <c r="S51" s="1227"/>
      <c r="T51" s="1227"/>
      <c r="U51" s="1227"/>
      <c r="V51" s="1227"/>
      <c r="W51" s="1248"/>
      <c r="X51" s="1226"/>
      <c r="Y51" s="1227"/>
      <c r="Z51" s="1227"/>
      <c r="AA51" s="1248"/>
      <c r="AB51" s="1226"/>
      <c r="AC51" s="1227"/>
      <c r="AD51" s="1227"/>
      <c r="AE51" s="1248"/>
      <c r="AF51" s="1317"/>
      <c r="AG51" s="1318"/>
      <c r="AH51" s="1318"/>
      <c r="AI51" s="1318"/>
      <c r="AJ51" s="1318"/>
      <c r="AK51" s="1318"/>
      <c r="AL51" s="1318"/>
      <c r="AM51" s="1318"/>
      <c r="AN51" s="1319"/>
    </row>
    <row r="52" spans="1:77" ht="50.25" customHeight="1">
      <c r="A52" s="1257"/>
      <c r="B52" s="1227"/>
      <c r="C52" s="1227"/>
      <c r="D52" s="1248"/>
      <c r="E52" s="1317"/>
      <c r="F52" s="1318"/>
      <c r="G52" s="1318"/>
      <c r="H52" s="1318"/>
      <c r="I52" s="1318"/>
      <c r="J52" s="1318"/>
      <c r="K52" s="1800"/>
      <c r="L52" s="1226"/>
      <c r="M52" s="1248"/>
      <c r="N52" s="1226"/>
      <c r="O52" s="1227"/>
      <c r="P52" s="1227"/>
      <c r="Q52" s="1248"/>
      <c r="R52" s="1226"/>
      <c r="S52" s="1227"/>
      <c r="T52" s="1227"/>
      <c r="U52" s="1227"/>
      <c r="V52" s="1227"/>
      <c r="W52" s="1248"/>
      <c r="X52" s="1226"/>
      <c r="Y52" s="1227"/>
      <c r="Z52" s="1227"/>
      <c r="AA52" s="1248"/>
      <c r="AB52" s="1226"/>
      <c r="AC52" s="1227"/>
      <c r="AD52" s="1227"/>
      <c r="AE52" s="1248"/>
      <c r="AF52" s="1317"/>
      <c r="AG52" s="1318"/>
      <c r="AH52" s="1318"/>
      <c r="AI52" s="1318"/>
      <c r="AJ52" s="1318"/>
      <c r="AK52" s="1318"/>
      <c r="AL52" s="1318"/>
      <c r="AM52" s="1318"/>
      <c r="AN52" s="1319"/>
    </row>
    <row r="53" spans="1:77" ht="50.25" customHeight="1">
      <c r="A53" s="1804"/>
      <c r="B53" s="1803"/>
      <c r="C53" s="1803"/>
      <c r="D53" s="1802"/>
      <c r="E53" s="1805"/>
      <c r="F53" s="1806"/>
      <c r="G53" s="1806"/>
      <c r="H53" s="1806"/>
      <c r="I53" s="1806"/>
      <c r="J53" s="1806"/>
      <c r="K53" s="1807"/>
      <c r="L53" s="1801"/>
      <c r="M53" s="1802"/>
      <c r="N53" s="1801"/>
      <c r="O53" s="1803"/>
      <c r="P53" s="1803"/>
      <c r="Q53" s="1802"/>
      <c r="R53" s="1801"/>
      <c r="S53" s="1803"/>
      <c r="T53" s="1803"/>
      <c r="U53" s="1803"/>
      <c r="V53" s="1803"/>
      <c r="W53" s="1802"/>
      <c r="X53" s="1801"/>
      <c r="Y53" s="1803"/>
      <c r="Z53" s="1803"/>
      <c r="AA53" s="1802"/>
      <c r="AB53" s="1801"/>
      <c r="AC53" s="1803"/>
      <c r="AD53" s="1803"/>
      <c r="AE53" s="1802"/>
      <c r="AF53" s="1317"/>
      <c r="AG53" s="1318"/>
      <c r="AH53" s="1318"/>
      <c r="AI53" s="1318"/>
      <c r="AJ53" s="1318"/>
      <c r="AK53" s="1318"/>
      <c r="AL53" s="1318"/>
      <c r="AM53" s="1318"/>
      <c r="AN53" s="1319"/>
    </row>
    <row r="54" spans="1:77" ht="45.75" customHeight="1">
      <c r="A54" s="1818" t="str">
        <f>VLOOKUP("änderungsart",Translations!$A:$T,MATCH(Cover!DR19,Translations!A2:P2,0),0)</f>
        <v xml:space="preserve">Reason of Change: </v>
      </c>
      <c r="B54" s="1819"/>
      <c r="C54" s="1819"/>
      <c r="D54" s="1819"/>
      <c r="E54" s="1819"/>
      <c r="F54" s="1819"/>
      <c r="G54" s="1819"/>
      <c r="H54" s="1819"/>
      <c r="I54" s="1819"/>
      <c r="J54" s="1819"/>
      <c r="K54" s="1820" t="str">
        <f>VLOOKUP("erläuterung änderungsart",Translations!$A:$T,MATCH(Cover!DR19,Translations!A2:P2,0),0)</f>
        <v>K = Design change ; P = Change of production process incl. inspection;
L = Change of sub-supplier ; S = Change of production location;
V = Change of packaging / transportation</v>
      </c>
      <c r="L54" s="1820"/>
      <c r="M54" s="1820"/>
      <c r="N54" s="1820"/>
      <c r="O54" s="1820"/>
      <c r="P54" s="1820"/>
      <c r="Q54" s="1820"/>
      <c r="R54" s="1820"/>
      <c r="S54" s="1820"/>
      <c r="T54" s="1820"/>
      <c r="U54" s="1820"/>
      <c r="V54" s="1820"/>
      <c r="W54" s="1820"/>
      <c r="X54" s="1820"/>
      <c r="Y54" s="1820"/>
      <c r="Z54" s="1820"/>
      <c r="AA54" s="1820"/>
      <c r="AB54" s="1820"/>
      <c r="AC54" s="1820"/>
      <c r="AD54" s="1820"/>
      <c r="AE54" s="1820"/>
      <c r="AF54" s="1820"/>
      <c r="AG54" s="1820"/>
      <c r="AH54" s="1820"/>
      <c r="AI54" s="1820"/>
      <c r="AJ54" s="1820"/>
      <c r="AK54" s="1820"/>
      <c r="AL54" s="1820"/>
      <c r="AM54" s="1820"/>
      <c r="AN54" s="1821"/>
    </row>
    <row r="55" spans="1:77" s="113" customFormat="1" ht="76.5" customHeight="1" thickBot="1">
      <c r="A55" s="1798" t="str">
        <f>VLOOKUP("Reifegrades",Translations!$A:$T,MATCH(Cover!DR19,Translations!A2:P2,0),0)</f>
        <v xml:space="preserve">Explanation of Maturity level: </v>
      </c>
      <c r="B55" s="1799"/>
      <c r="C55" s="1799"/>
      <c r="D55" s="1799"/>
      <c r="E55" s="1799"/>
      <c r="F55" s="1799"/>
      <c r="G55" s="1799"/>
      <c r="H55" s="1799"/>
      <c r="I55" s="1799"/>
      <c r="J55" s="1799"/>
      <c r="K55" s="1796" t="str">
        <f>VLOOKUP("Erläuterung Reifegrad",Translations!$A:$T,MATCH(Cover!DR19,Translations!A2:P2,0),0)</f>
        <v>C1 = Serial Tooling / Equipment used, but still at producer of the Tooling or Equipment;
C2 = Serial Tooling / Equipment at Serial Production, but process steps not yet linked;
C3 = Serial Tooling / Equipment at Serial Production Supplier, process as for serial production and all
         process steps linked
1, 2, 3,...Identification of the Correction loops for the same Maturity Level (eg. C3.1, C3.2, C3.3)</v>
      </c>
      <c r="L55" s="1796"/>
      <c r="M55" s="1796"/>
      <c r="N55" s="1796"/>
      <c r="O55" s="1796"/>
      <c r="P55" s="1796"/>
      <c r="Q55" s="1796"/>
      <c r="R55" s="1796"/>
      <c r="S55" s="1796"/>
      <c r="T55" s="1796"/>
      <c r="U55" s="1796"/>
      <c r="V55" s="1796"/>
      <c r="W55" s="1796"/>
      <c r="X55" s="1796"/>
      <c r="Y55" s="1796"/>
      <c r="Z55" s="1796"/>
      <c r="AA55" s="1796"/>
      <c r="AB55" s="1796"/>
      <c r="AC55" s="1796"/>
      <c r="AD55" s="1796"/>
      <c r="AE55" s="1796"/>
      <c r="AF55" s="1796"/>
      <c r="AG55" s="1796"/>
      <c r="AH55" s="1796"/>
      <c r="AI55" s="1796"/>
      <c r="AJ55" s="1796"/>
      <c r="AK55" s="1796"/>
      <c r="AL55" s="1796"/>
      <c r="AM55" s="1796"/>
      <c r="AN55" s="1797"/>
    </row>
    <row r="56" spans="1:77" s="113" customFormat="1" ht="16.5">
      <c r="A56" s="128"/>
      <c r="B56" s="128"/>
      <c r="C56" s="128"/>
      <c r="D56" s="128"/>
      <c r="E56" s="128"/>
      <c r="F56" s="128"/>
      <c r="G56" s="133"/>
      <c r="H56" s="133"/>
      <c r="I56" s="133"/>
      <c r="J56" s="133"/>
      <c r="K56" s="133"/>
      <c r="L56" s="133"/>
      <c r="M56" s="133"/>
      <c r="N56" s="133"/>
      <c r="O56" s="133"/>
      <c r="P56" s="133"/>
      <c r="Q56" s="133"/>
      <c r="R56" s="128"/>
      <c r="S56" s="128"/>
      <c r="T56" s="128"/>
      <c r="U56" s="128"/>
      <c r="V56" s="128"/>
      <c r="W56" s="128"/>
      <c r="X56" s="128"/>
      <c r="Y56" s="128"/>
      <c r="Z56" s="128"/>
      <c r="AA56" s="128"/>
      <c r="AB56" s="128"/>
      <c r="AC56" s="128"/>
      <c r="AD56" s="128"/>
      <c r="AE56" s="128"/>
      <c r="AF56" s="128"/>
      <c r="AG56" s="128"/>
      <c r="AH56" s="128"/>
      <c r="AI56" s="128"/>
      <c r="AJ56" s="128"/>
      <c r="AK56" s="134"/>
      <c r="AL56" s="134"/>
      <c r="AM56" s="134"/>
      <c r="AN56" s="134"/>
    </row>
    <row r="57" spans="1:77" s="113" customFormat="1" ht="16.5">
      <c r="A57" s="135"/>
      <c r="B57" s="135"/>
      <c r="C57" s="135"/>
      <c r="D57" s="135"/>
      <c r="E57" s="135"/>
      <c r="F57" s="135"/>
      <c r="G57" s="135"/>
      <c r="H57" s="135"/>
      <c r="I57" s="135"/>
      <c r="J57" s="135"/>
      <c r="K57" s="135"/>
      <c r="L57" s="135"/>
      <c r="M57" s="135"/>
      <c r="N57" s="135"/>
      <c r="O57" s="135"/>
      <c r="P57" s="135"/>
      <c r="Q57" s="135"/>
      <c r="R57" s="128"/>
      <c r="S57" s="128"/>
      <c r="T57" s="128"/>
      <c r="U57" s="128"/>
      <c r="V57" s="128"/>
      <c r="W57" s="128"/>
      <c r="X57" s="128"/>
      <c r="Y57" s="128"/>
      <c r="Z57" s="128"/>
      <c r="AA57" s="128"/>
      <c r="AB57" s="128"/>
      <c r="AC57" s="128"/>
      <c r="AD57" s="128"/>
      <c r="AE57" s="128"/>
      <c r="AF57" s="128"/>
      <c r="AG57" s="128"/>
      <c r="AH57" s="128"/>
      <c r="AI57" s="128"/>
      <c r="AJ57" s="128"/>
      <c r="AK57" s="134"/>
      <c r="AL57" s="134"/>
      <c r="AM57" s="134"/>
      <c r="AN57" s="134"/>
    </row>
    <row r="58" spans="1:77" s="113" customFormat="1" ht="16.5" customHeight="1">
      <c r="A58" s="135"/>
      <c r="B58" s="135"/>
      <c r="C58" s="135"/>
      <c r="D58" s="135"/>
      <c r="E58" s="135"/>
      <c r="F58" s="135"/>
      <c r="G58" s="135"/>
      <c r="H58" s="135"/>
      <c r="I58" s="135"/>
      <c r="J58" s="135"/>
      <c r="K58" s="135" t="s">
        <v>1180</v>
      </c>
      <c r="L58" s="135"/>
      <c r="M58" s="135"/>
      <c r="N58" s="135"/>
      <c r="O58" s="135"/>
      <c r="P58" s="135"/>
      <c r="Q58" s="135"/>
      <c r="R58" s="135"/>
      <c r="S58" s="135"/>
      <c r="T58" s="135"/>
      <c r="U58" s="135"/>
      <c r="V58" s="135"/>
      <c r="W58" s="135"/>
      <c r="X58" s="135"/>
      <c r="Y58" s="135"/>
      <c r="Z58" s="135"/>
      <c r="AA58" s="135"/>
      <c r="AB58" s="135"/>
      <c r="AC58" s="135"/>
      <c r="AD58" s="135"/>
      <c r="AE58" s="135"/>
      <c r="AF58" s="135"/>
      <c r="AG58" s="135"/>
      <c r="AH58" s="135"/>
      <c r="AI58" s="135"/>
      <c r="AJ58" s="135"/>
      <c r="AK58" s="135"/>
      <c r="AL58" s="135"/>
      <c r="AM58" s="135"/>
      <c r="AN58" s="135"/>
    </row>
    <row r="59" spans="1:77" s="113" customFormat="1" ht="11.25" customHeight="1">
      <c r="A59" s="135"/>
      <c r="B59" s="135"/>
      <c r="C59" s="135"/>
      <c r="D59" s="135"/>
      <c r="E59" s="135"/>
      <c r="F59" s="135"/>
      <c r="G59" s="135"/>
      <c r="H59" s="135"/>
      <c r="I59" s="135"/>
      <c r="J59" s="135"/>
      <c r="K59" s="135" t="s">
        <v>1181</v>
      </c>
      <c r="L59" s="135"/>
      <c r="M59" s="135"/>
      <c r="N59" s="135"/>
      <c r="O59" s="135"/>
      <c r="P59" s="135"/>
      <c r="Q59" s="135"/>
      <c r="R59" s="135"/>
      <c r="S59" s="135"/>
      <c r="T59" s="135"/>
      <c r="U59" s="135"/>
      <c r="V59" s="135"/>
      <c r="W59" s="135"/>
      <c r="X59" s="135"/>
      <c r="Y59" s="135"/>
      <c r="Z59" s="135"/>
      <c r="AA59" s="135"/>
      <c r="AB59" s="135"/>
      <c r="AC59" s="135"/>
      <c r="AD59" s="135"/>
      <c r="AE59" s="135"/>
      <c r="AF59" s="135"/>
      <c r="AG59" s="135"/>
      <c r="AH59" s="135"/>
      <c r="AI59" s="135"/>
      <c r="AJ59" s="135"/>
      <c r="AK59" s="135"/>
      <c r="AL59" s="135"/>
      <c r="AM59" s="135"/>
      <c r="AN59" s="135"/>
    </row>
    <row r="60" spans="1:77" s="113" customFormat="1" ht="11.25" customHeight="1">
      <c r="A60" s="135"/>
      <c r="B60" s="135"/>
      <c r="C60" s="135"/>
      <c r="D60" s="135"/>
      <c r="E60" s="135"/>
      <c r="F60" s="135"/>
      <c r="G60" s="135"/>
      <c r="H60" s="135"/>
      <c r="I60" s="135"/>
      <c r="J60" s="135"/>
      <c r="K60" s="135" t="s">
        <v>1182</v>
      </c>
      <c r="L60" s="135"/>
      <c r="M60" s="135"/>
      <c r="N60" s="135"/>
      <c r="O60" s="135"/>
      <c r="P60" s="135"/>
      <c r="Q60" s="135"/>
      <c r="R60" s="135"/>
      <c r="S60" s="135"/>
      <c r="T60" s="135"/>
      <c r="U60" s="135"/>
      <c r="V60" s="135"/>
      <c r="W60" s="135"/>
      <c r="X60" s="135"/>
      <c r="Y60" s="135"/>
      <c r="Z60" s="135"/>
      <c r="AA60" s="135"/>
      <c r="AB60" s="135"/>
      <c r="AC60" s="135"/>
      <c r="AD60" s="135"/>
      <c r="AE60" s="135"/>
      <c r="AF60" s="135"/>
      <c r="AG60" s="135"/>
      <c r="AH60" s="135"/>
      <c r="AI60" s="135"/>
      <c r="AJ60" s="135"/>
      <c r="AK60" s="135"/>
      <c r="AL60" s="135"/>
      <c r="AM60" s="135"/>
      <c r="AN60" s="135"/>
    </row>
    <row r="61" spans="1:77" s="113" customFormat="1" ht="11.25" customHeight="1">
      <c r="A61" s="135"/>
      <c r="B61" s="135"/>
      <c r="C61" s="135"/>
      <c r="D61" s="135"/>
      <c r="E61" s="135"/>
      <c r="F61" s="135"/>
      <c r="G61" s="135"/>
      <c r="H61" s="135"/>
      <c r="I61" s="135"/>
      <c r="J61" s="135"/>
      <c r="K61" s="135"/>
      <c r="L61" s="135"/>
      <c r="M61" s="135"/>
      <c r="N61" s="135"/>
      <c r="O61" s="135"/>
      <c r="P61" s="135"/>
      <c r="Q61" s="135"/>
      <c r="R61" s="135"/>
      <c r="S61" s="135"/>
      <c r="T61" s="135"/>
      <c r="U61" s="135"/>
      <c r="V61" s="135"/>
      <c r="W61" s="135"/>
      <c r="X61" s="135"/>
      <c r="Y61" s="135"/>
      <c r="Z61" s="135"/>
      <c r="AA61" s="135"/>
      <c r="AB61" s="135"/>
      <c r="AC61" s="135"/>
      <c r="AD61" s="135"/>
      <c r="AE61" s="135"/>
      <c r="AF61" s="135"/>
      <c r="AG61" s="135"/>
      <c r="AH61" s="135"/>
      <c r="AI61" s="135"/>
      <c r="AJ61" s="135"/>
      <c r="AK61" s="135"/>
      <c r="AL61" s="135"/>
      <c r="AM61" s="135"/>
      <c r="AN61" s="135"/>
    </row>
    <row r="62" spans="1:77" s="113" customFormat="1" ht="16.5" customHeight="1">
      <c r="A62" s="126"/>
      <c r="B62" s="126"/>
      <c r="C62" s="126"/>
      <c r="D62" s="126"/>
      <c r="E62" s="126"/>
      <c r="F62" s="127"/>
      <c r="G62" s="127"/>
      <c r="H62" s="127"/>
      <c r="I62" s="127"/>
      <c r="J62" s="127"/>
      <c r="K62" s="127" t="s">
        <v>1183</v>
      </c>
      <c r="L62" s="127"/>
      <c r="M62" s="127"/>
      <c r="N62" s="127"/>
      <c r="O62" s="127"/>
      <c r="P62" s="127"/>
      <c r="Q62" s="127"/>
      <c r="R62" s="126"/>
      <c r="S62" s="126"/>
      <c r="T62" s="126"/>
      <c r="U62" s="126"/>
      <c r="V62" s="126"/>
      <c r="W62" s="127"/>
      <c r="X62" s="127"/>
      <c r="Y62" s="127"/>
      <c r="Z62" s="127"/>
      <c r="AA62" s="127"/>
      <c r="AB62" s="127"/>
      <c r="AC62" s="127"/>
      <c r="AD62" s="127"/>
      <c r="AE62" s="127"/>
      <c r="AF62" s="127"/>
      <c r="AG62" s="127"/>
      <c r="AH62" s="127"/>
      <c r="AI62" s="127"/>
      <c r="AJ62" s="127"/>
      <c r="AK62" s="127"/>
      <c r="AL62" s="127"/>
      <c r="AM62" s="127"/>
      <c r="AN62" s="127"/>
    </row>
    <row r="63" spans="1:77" s="113" customFormat="1" ht="16.5" customHeight="1">
      <c r="A63" s="126"/>
      <c r="B63" s="126"/>
      <c r="C63" s="126"/>
      <c r="D63" s="126"/>
      <c r="E63" s="126"/>
      <c r="F63" s="126"/>
      <c r="G63" s="127"/>
      <c r="H63" s="127"/>
      <c r="I63" s="127"/>
      <c r="J63" s="127"/>
      <c r="K63" s="127"/>
      <c r="L63" s="127"/>
      <c r="M63" s="127"/>
      <c r="N63" s="127"/>
      <c r="O63" s="127"/>
      <c r="P63" s="127"/>
      <c r="Q63" s="127"/>
      <c r="R63" s="126"/>
      <c r="S63" s="126"/>
      <c r="T63" s="126"/>
      <c r="U63" s="136"/>
      <c r="V63" s="136"/>
      <c r="W63" s="136"/>
      <c r="X63" s="127"/>
      <c r="Y63" s="127"/>
      <c r="Z63" s="127"/>
      <c r="AA63" s="127"/>
      <c r="AB63" s="127"/>
      <c r="AC63" s="127"/>
      <c r="AD63" s="127"/>
      <c r="AE63" s="127"/>
      <c r="AF63" s="127"/>
      <c r="AG63" s="127"/>
      <c r="AH63" s="127"/>
      <c r="AI63" s="127"/>
      <c r="AJ63" s="127"/>
      <c r="AK63" s="127"/>
      <c r="AL63" s="127"/>
      <c r="AM63" s="127"/>
      <c r="AN63" s="127"/>
    </row>
    <row r="64" spans="1:77" s="113" customFormat="1" ht="16.5" customHeight="1">
      <c r="A64" s="126"/>
      <c r="B64" s="126"/>
      <c r="C64" s="126"/>
      <c r="D64" s="126"/>
      <c r="E64" s="126"/>
      <c r="F64" s="127"/>
      <c r="G64" s="127"/>
      <c r="H64" s="127"/>
      <c r="I64" s="127"/>
      <c r="J64" s="127"/>
      <c r="K64" s="127"/>
      <c r="L64" s="127"/>
      <c r="M64" s="127"/>
      <c r="N64" s="127"/>
      <c r="O64" s="127"/>
      <c r="P64" s="127"/>
      <c r="Q64" s="127"/>
      <c r="R64" s="126"/>
      <c r="S64" s="126"/>
      <c r="T64" s="126"/>
      <c r="U64" s="126"/>
      <c r="V64" s="126"/>
      <c r="W64" s="126"/>
      <c r="X64" s="127"/>
      <c r="Y64" s="127"/>
      <c r="Z64" s="127"/>
      <c r="AA64" s="127"/>
      <c r="AB64" s="127"/>
      <c r="AC64" s="127"/>
      <c r="AD64" s="127"/>
      <c r="AE64" s="127"/>
      <c r="AF64" s="127"/>
      <c r="AG64" s="127"/>
      <c r="AH64" s="127"/>
      <c r="AI64" s="127"/>
      <c r="AJ64" s="127"/>
      <c r="AK64" s="127"/>
      <c r="AL64" s="127"/>
      <c r="AM64" s="127"/>
      <c r="AN64" s="127"/>
    </row>
    <row r="65" spans="1:40" s="113" customFormat="1" ht="16.5" customHeight="1">
      <c r="A65" s="126"/>
      <c r="B65" s="126"/>
      <c r="C65" s="126"/>
      <c r="D65" s="126"/>
      <c r="E65" s="126"/>
      <c r="F65" s="127"/>
      <c r="G65" s="127"/>
      <c r="H65" s="127"/>
      <c r="I65" s="127"/>
      <c r="J65" s="127"/>
      <c r="K65" s="127"/>
      <c r="L65" s="127"/>
      <c r="M65" s="127"/>
      <c r="N65" s="127"/>
      <c r="O65" s="127"/>
      <c r="P65" s="127"/>
      <c r="Q65" s="127"/>
      <c r="R65" s="126"/>
      <c r="S65" s="126"/>
      <c r="T65" s="126"/>
      <c r="U65" s="126"/>
      <c r="V65" s="126"/>
      <c r="W65" s="127"/>
      <c r="X65" s="127"/>
      <c r="Y65" s="127"/>
      <c r="Z65" s="127"/>
      <c r="AA65" s="127"/>
      <c r="AB65" s="127"/>
      <c r="AC65" s="127"/>
      <c r="AD65" s="127"/>
      <c r="AE65" s="127"/>
      <c r="AF65" s="127"/>
      <c r="AG65" s="127"/>
      <c r="AH65" s="127"/>
      <c r="AI65" s="127"/>
      <c r="AJ65" s="127"/>
      <c r="AK65" s="127"/>
      <c r="AL65" s="127"/>
      <c r="AM65" s="127"/>
      <c r="AN65" s="127"/>
    </row>
    <row r="66" spans="1:40" s="113" customFormat="1" ht="16.5" customHeight="1">
      <c r="A66" s="126"/>
      <c r="B66" s="126"/>
      <c r="C66" s="126"/>
      <c r="D66" s="126"/>
      <c r="E66" s="126"/>
      <c r="F66" s="127"/>
      <c r="G66" s="127"/>
      <c r="H66" s="127"/>
      <c r="I66" s="127"/>
      <c r="J66" s="127"/>
      <c r="K66" s="127"/>
      <c r="L66" s="127"/>
      <c r="M66" s="127"/>
      <c r="N66" s="127"/>
      <c r="O66" s="127"/>
      <c r="P66" s="127"/>
      <c r="Q66" s="127"/>
      <c r="R66" s="126"/>
      <c r="S66" s="126"/>
      <c r="T66" s="126"/>
      <c r="U66" s="126"/>
      <c r="V66" s="126"/>
      <c r="W66" s="127"/>
      <c r="X66" s="127"/>
      <c r="Y66" s="127"/>
      <c r="Z66" s="127"/>
      <c r="AA66" s="127"/>
      <c r="AB66" s="127"/>
      <c r="AC66" s="127"/>
      <c r="AD66" s="127"/>
      <c r="AE66" s="127"/>
      <c r="AF66" s="127"/>
      <c r="AG66" s="127"/>
      <c r="AH66" s="127"/>
      <c r="AI66" s="127"/>
      <c r="AJ66" s="127"/>
      <c r="AK66" s="127"/>
      <c r="AL66" s="127"/>
      <c r="AM66" s="127"/>
      <c r="AN66" s="127"/>
    </row>
    <row r="67" spans="1:40" s="113" customFormat="1" ht="33.75" customHeight="1">
      <c r="A67" s="128"/>
      <c r="B67" s="128"/>
      <c r="C67" s="128"/>
      <c r="D67" s="128"/>
      <c r="E67" s="128"/>
      <c r="F67" s="129"/>
      <c r="G67" s="127"/>
      <c r="H67" s="128"/>
      <c r="I67" s="128"/>
      <c r="J67" s="128"/>
      <c r="K67" s="128"/>
      <c r="L67" s="127"/>
      <c r="M67" s="127"/>
      <c r="N67" s="127"/>
      <c r="O67" s="127"/>
      <c r="P67" s="127"/>
      <c r="Q67" s="127"/>
      <c r="R67" s="128"/>
      <c r="S67" s="128"/>
      <c r="T67" s="128"/>
      <c r="U67" s="128"/>
      <c r="V67" s="128"/>
      <c r="W67" s="129"/>
      <c r="X67" s="127"/>
      <c r="Y67" s="127"/>
      <c r="Z67" s="127"/>
      <c r="AA67" s="128"/>
      <c r="AB67" s="128"/>
      <c r="AC67" s="128"/>
      <c r="AD67" s="128"/>
      <c r="AE67" s="128"/>
      <c r="AF67" s="127"/>
      <c r="AG67" s="127"/>
      <c r="AH67" s="127"/>
      <c r="AI67" s="127"/>
      <c r="AJ67" s="127"/>
      <c r="AK67" s="127"/>
      <c r="AL67" s="127"/>
      <c r="AM67" s="127"/>
      <c r="AN67" s="127"/>
    </row>
    <row r="68" spans="1:40" s="113" customFormat="1"/>
    <row r="69" spans="1:40" s="113" customFormat="1">
      <c r="A69" s="114"/>
      <c r="B69" s="114"/>
      <c r="C69" s="114"/>
      <c r="D69" s="114"/>
      <c r="E69" s="114"/>
      <c r="F69" s="114"/>
      <c r="G69" s="114"/>
      <c r="H69" s="114"/>
      <c r="I69" s="114"/>
      <c r="J69" s="114"/>
      <c r="K69" s="115"/>
      <c r="L69" s="115"/>
      <c r="M69" s="115"/>
      <c r="N69" s="115"/>
      <c r="O69" s="115"/>
      <c r="P69" s="115"/>
      <c r="Q69" s="114"/>
      <c r="R69" s="114"/>
      <c r="S69" s="114"/>
      <c r="T69" s="114"/>
      <c r="U69" s="114"/>
      <c r="V69" s="114"/>
      <c r="W69" s="114"/>
      <c r="X69" s="114"/>
    </row>
    <row r="70" spans="1:40" s="113" customFormat="1">
      <c r="A70" s="116"/>
      <c r="B70" s="116"/>
      <c r="C70" s="116"/>
      <c r="D70" s="116"/>
      <c r="E70" s="117"/>
      <c r="F70" s="117"/>
      <c r="G70" s="117"/>
      <c r="H70" s="117"/>
      <c r="I70" s="117"/>
      <c r="J70" s="117"/>
      <c r="K70" s="116"/>
      <c r="L70" s="116"/>
      <c r="M70" s="116"/>
      <c r="N70" s="116"/>
      <c r="O70" s="116"/>
      <c r="P70" s="116"/>
      <c r="Q70" s="116"/>
      <c r="R70" s="116"/>
      <c r="S70" s="116"/>
      <c r="T70" s="116"/>
      <c r="U70" s="118"/>
      <c r="V70" s="116"/>
      <c r="W70" s="116"/>
      <c r="X70" s="116"/>
    </row>
    <row r="71" spans="1:40" s="113" customFormat="1">
      <c r="A71" s="76"/>
      <c r="B71" s="76"/>
      <c r="C71" s="76"/>
      <c r="D71" s="76"/>
      <c r="E71" s="76"/>
      <c r="F71" s="76"/>
      <c r="G71" s="76"/>
      <c r="H71" s="76"/>
      <c r="I71" s="76"/>
      <c r="J71" s="76"/>
      <c r="K71" s="76"/>
      <c r="L71" s="76"/>
      <c r="M71" s="76"/>
      <c r="N71" s="76"/>
      <c r="O71" s="76"/>
      <c r="P71" s="76"/>
      <c r="Q71" s="76"/>
      <c r="R71" s="76"/>
      <c r="S71" s="76"/>
      <c r="T71" s="76"/>
      <c r="U71" s="75"/>
      <c r="V71" s="76"/>
      <c r="W71" s="76"/>
      <c r="X71" s="76"/>
    </row>
    <row r="72" spans="1:40" s="113" customFormat="1">
      <c r="A72" s="76"/>
      <c r="B72" s="76"/>
      <c r="C72" s="76"/>
      <c r="D72" s="76"/>
      <c r="E72" s="76"/>
      <c r="F72" s="76"/>
      <c r="G72" s="76"/>
      <c r="H72" s="76"/>
      <c r="I72" s="76"/>
      <c r="J72" s="76"/>
      <c r="K72" s="76"/>
      <c r="L72" s="76"/>
      <c r="M72" s="76"/>
      <c r="N72" s="76"/>
      <c r="O72" s="76"/>
      <c r="P72" s="76"/>
      <c r="Q72" s="76"/>
      <c r="R72" s="76"/>
      <c r="S72" s="76"/>
      <c r="T72" s="76"/>
      <c r="U72" s="75"/>
      <c r="V72" s="76"/>
      <c r="W72" s="76"/>
      <c r="X72" s="76"/>
    </row>
    <row r="73" spans="1:40" s="113" customFormat="1">
      <c r="A73" s="76"/>
      <c r="B73" s="76"/>
      <c r="C73" s="76"/>
      <c r="D73" s="76"/>
      <c r="E73" s="76"/>
      <c r="F73" s="76"/>
      <c r="G73" s="76"/>
      <c r="H73" s="76"/>
      <c r="I73" s="76"/>
      <c r="J73" s="76"/>
      <c r="K73" s="76"/>
      <c r="L73" s="76"/>
      <c r="M73" s="76"/>
      <c r="N73" s="76"/>
      <c r="O73" s="76"/>
      <c r="P73" s="76"/>
      <c r="Q73" s="76"/>
      <c r="R73" s="76"/>
      <c r="S73" s="76"/>
      <c r="T73" s="76"/>
      <c r="U73" s="75"/>
      <c r="V73" s="76"/>
      <c r="W73" s="76"/>
      <c r="X73" s="76"/>
    </row>
    <row r="74" spans="1:40" s="113" customFormat="1">
      <c r="A74" s="76"/>
      <c r="B74" s="76"/>
      <c r="C74" s="76"/>
      <c r="D74" s="76"/>
      <c r="E74" s="76"/>
      <c r="F74" s="76"/>
      <c r="G74" s="76"/>
      <c r="H74" s="76"/>
      <c r="I74" s="76"/>
      <c r="J74" s="76"/>
      <c r="K74" s="76"/>
      <c r="L74" s="76"/>
      <c r="M74" s="76"/>
      <c r="N74" s="76"/>
      <c r="O74" s="76"/>
      <c r="P74" s="76"/>
      <c r="Q74" s="76"/>
      <c r="R74" s="76"/>
      <c r="S74" s="76"/>
      <c r="T74" s="76"/>
      <c r="U74" s="75"/>
      <c r="V74" s="76"/>
      <c r="W74" s="76"/>
      <c r="X74" s="76"/>
    </row>
    <row r="75" spans="1:40" s="113" customFormat="1">
      <c r="A75" s="76"/>
      <c r="B75" s="76"/>
      <c r="C75" s="76"/>
      <c r="D75" s="76"/>
      <c r="E75" s="76"/>
      <c r="F75" s="76"/>
      <c r="G75" s="76"/>
      <c r="H75" s="76"/>
      <c r="I75" s="76"/>
      <c r="J75" s="76"/>
      <c r="K75" s="76"/>
      <c r="L75" s="76"/>
      <c r="M75" s="76"/>
      <c r="N75" s="76"/>
      <c r="O75" s="76"/>
      <c r="P75" s="76"/>
      <c r="Q75" s="76"/>
      <c r="R75" s="76"/>
      <c r="S75" s="76"/>
      <c r="T75" s="76"/>
      <c r="U75" s="75"/>
      <c r="V75" s="76"/>
      <c r="W75" s="76"/>
      <c r="X75" s="76"/>
    </row>
    <row r="76" spans="1:40" s="113" customFormat="1">
      <c r="A76" s="76"/>
      <c r="B76" s="76"/>
      <c r="C76" s="76"/>
      <c r="D76" s="76"/>
      <c r="E76" s="76"/>
      <c r="F76" s="76"/>
      <c r="G76" s="76"/>
      <c r="H76" s="76"/>
      <c r="I76" s="76"/>
      <c r="J76" s="76"/>
      <c r="K76" s="76"/>
      <c r="L76" s="76"/>
      <c r="M76" s="76"/>
      <c r="N76" s="76"/>
      <c r="O76" s="76"/>
      <c r="P76" s="76"/>
      <c r="Q76" s="76"/>
      <c r="R76" s="76"/>
      <c r="S76" s="76"/>
      <c r="T76" s="76"/>
      <c r="U76" s="75"/>
      <c r="V76" s="76"/>
      <c r="W76" s="76"/>
      <c r="X76" s="76"/>
    </row>
    <row r="77" spans="1:40" s="113" customFormat="1">
      <c r="A77" s="76"/>
      <c r="B77" s="76"/>
      <c r="C77" s="76"/>
      <c r="D77" s="76"/>
      <c r="E77" s="76"/>
      <c r="F77" s="76"/>
      <c r="G77" s="76"/>
      <c r="H77" s="76"/>
      <c r="I77" s="76"/>
      <c r="J77" s="76"/>
      <c r="K77" s="76"/>
      <c r="L77" s="76"/>
      <c r="M77" s="76"/>
      <c r="N77" s="76"/>
      <c r="O77" s="76"/>
      <c r="P77" s="76"/>
      <c r="Q77" s="76"/>
      <c r="R77" s="76"/>
      <c r="S77" s="76"/>
      <c r="T77" s="76"/>
      <c r="U77" s="75"/>
      <c r="V77" s="76"/>
      <c r="W77" s="76"/>
      <c r="X77" s="76"/>
    </row>
    <row r="78" spans="1:40" s="113" customFormat="1">
      <c r="A78" s="76"/>
      <c r="B78" s="76"/>
      <c r="C78" s="76"/>
      <c r="D78" s="76"/>
      <c r="E78" s="76"/>
      <c r="F78" s="76"/>
      <c r="G78" s="76"/>
      <c r="H78" s="76"/>
      <c r="I78" s="76"/>
      <c r="J78" s="76"/>
      <c r="K78" s="76"/>
      <c r="L78" s="76"/>
      <c r="M78" s="76"/>
      <c r="N78" s="76"/>
      <c r="O78" s="76"/>
      <c r="P78" s="76"/>
      <c r="Q78" s="76"/>
      <c r="R78" s="76"/>
      <c r="S78" s="76"/>
      <c r="T78" s="76"/>
      <c r="U78" s="75"/>
      <c r="V78" s="76"/>
      <c r="W78" s="76"/>
      <c r="X78" s="76"/>
    </row>
    <row r="79" spans="1:40" s="113" customFormat="1">
      <c r="A79" s="76"/>
      <c r="B79" s="76"/>
      <c r="C79" s="76"/>
      <c r="D79" s="76"/>
      <c r="E79" s="76"/>
      <c r="F79" s="76"/>
      <c r="G79" s="76"/>
      <c r="H79" s="76"/>
      <c r="I79" s="76"/>
      <c r="J79" s="76"/>
      <c r="K79" s="76"/>
      <c r="L79" s="76"/>
      <c r="M79" s="76"/>
      <c r="N79" s="76"/>
      <c r="O79" s="76"/>
      <c r="P79" s="76"/>
      <c r="Q79" s="76"/>
      <c r="R79" s="76"/>
      <c r="S79" s="76"/>
      <c r="T79" s="76"/>
      <c r="U79" s="75"/>
      <c r="V79" s="76"/>
      <c r="W79" s="76"/>
      <c r="X79" s="76"/>
    </row>
    <row r="80" spans="1:40" s="113" customFormat="1">
      <c r="A80" s="76"/>
      <c r="B80" s="76"/>
      <c r="C80" s="76"/>
      <c r="D80" s="76"/>
      <c r="E80" s="76"/>
      <c r="F80" s="76"/>
      <c r="G80" s="76"/>
      <c r="H80" s="76"/>
      <c r="I80" s="76"/>
      <c r="J80" s="76"/>
      <c r="K80" s="76"/>
      <c r="L80" s="76"/>
      <c r="M80" s="76"/>
      <c r="N80" s="76"/>
      <c r="O80" s="76"/>
      <c r="P80" s="76"/>
      <c r="Q80" s="76"/>
      <c r="R80" s="76"/>
      <c r="S80" s="76"/>
      <c r="T80" s="76"/>
      <c r="U80" s="75"/>
      <c r="V80" s="76"/>
      <c r="W80" s="76"/>
      <c r="X80" s="76"/>
    </row>
    <row r="81" spans="1:24" s="113" customFormat="1">
      <c r="A81" s="76"/>
      <c r="B81" s="76"/>
      <c r="C81" s="76"/>
      <c r="D81" s="76"/>
      <c r="E81" s="76"/>
      <c r="F81" s="76"/>
      <c r="G81" s="76"/>
      <c r="H81" s="76"/>
      <c r="I81" s="76"/>
      <c r="J81" s="76"/>
      <c r="K81" s="76"/>
      <c r="L81" s="76"/>
      <c r="M81" s="76"/>
      <c r="N81" s="76"/>
      <c r="O81" s="76"/>
      <c r="P81" s="76"/>
      <c r="Q81" s="76"/>
      <c r="R81" s="76"/>
      <c r="S81" s="76"/>
      <c r="T81" s="76"/>
      <c r="U81" s="75"/>
      <c r="V81" s="76"/>
      <c r="W81" s="76"/>
      <c r="X81" s="76"/>
    </row>
    <row r="82" spans="1:24" s="113" customFormat="1">
      <c r="A82" s="76"/>
      <c r="B82" s="76"/>
      <c r="C82" s="76"/>
      <c r="D82" s="76"/>
      <c r="E82" s="76"/>
      <c r="F82" s="76"/>
      <c r="G82" s="76"/>
      <c r="H82" s="76"/>
      <c r="I82" s="76"/>
      <c r="J82" s="76"/>
      <c r="K82" s="76"/>
      <c r="L82" s="76"/>
      <c r="M82" s="76"/>
      <c r="N82" s="76"/>
      <c r="O82" s="76"/>
      <c r="P82" s="76"/>
      <c r="Q82" s="76"/>
      <c r="R82" s="76"/>
      <c r="S82" s="76"/>
      <c r="T82" s="76"/>
      <c r="U82" s="75"/>
      <c r="V82" s="76"/>
      <c r="W82" s="76"/>
      <c r="X82" s="76"/>
    </row>
    <row r="83" spans="1:24" s="113" customFormat="1">
      <c r="A83" s="76"/>
      <c r="B83" s="76"/>
      <c r="C83" s="76"/>
      <c r="D83" s="76"/>
      <c r="E83" s="76"/>
      <c r="F83" s="76"/>
      <c r="G83" s="76"/>
      <c r="H83" s="76"/>
      <c r="I83" s="76"/>
      <c r="J83" s="76"/>
      <c r="K83" s="76"/>
      <c r="L83" s="76"/>
      <c r="M83" s="76"/>
      <c r="N83" s="76"/>
      <c r="O83" s="76"/>
      <c r="P83" s="76"/>
      <c r="Q83" s="76"/>
      <c r="R83" s="76"/>
      <c r="S83" s="76"/>
      <c r="T83" s="76"/>
      <c r="U83" s="75"/>
      <c r="V83" s="76"/>
      <c r="W83" s="76"/>
      <c r="X83" s="76"/>
    </row>
    <row r="84" spans="1:24" s="113" customFormat="1">
      <c r="A84" s="76"/>
      <c r="B84" s="76"/>
      <c r="C84" s="76"/>
      <c r="D84" s="76"/>
      <c r="E84" s="76"/>
      <c r="F84" s="76"/>
      <c r="G84" s="76"/>
      <c r="H84" s="76"/>
      <c r="I84" s="76"/>
      <c r="J84" s="76"/>
      <c r="K84" s="76"/>
      <c r="L84" s="76"/>
      <c r="M84" s="76"/>
      <c r="N84" s="76"/>
      <c r="O84" s="76"/>
      <c r="P84" s="76"/>
      <c r="Q84" s="76"/>
      <c r="R84" s="76"/>
      <c r="S84" s="76"/>
      <c r="T84" s="76"/>
      <c r="U84" s="75"/>
      <c r="V84" s="76"/>
      <c r="W84" s="76"/>
      <c r="X84" s="76"/>
    </row>
    <row r="85" spans="1:24" s="113" customFormat="1">
      <c r="A85" s="76"/>
      <c r="B85" s="76"/>
      <c r="C85" s="76"/>
      <c r="D85" s="76"/>
      <c r="E85" s="76"/>
      <c r="F85" s="76"/>
      <c r="G85" s="76"/>
      <c r="H85" s="76"/>
      <c r="I85" s="76"/>
      <c r="J85" s="76"/>
      <c r="K85" s="76"/>
      <c r="L85" s="76"/>
      <c r="M85" s="76"/>
      <c r="N85" s="76"/>
      <c r="O85" s="76"/>
      <c r="P85" s="76"/>
      <c r="Q85" s="76"/>
      <c r="R85" s="76"/>
      <c r="S85" s="76"/>
      <c r="T85" s="76"/>
      <c r="U85" s="75"/>
      <c r="V85" s="76"/>
      <c r="W85" s="76"/>
      <c r="X85" s="76"/>
    </row>
    <row r="86" spans="1:24" s="113" customFormat="1">
      <c r="A86" s="76"/>
      <c r="B86" s="76"/>
      <c r="C86" s="76"/>
      <c r="D86" s="76"/>
      <c r="E86" s="76"/>
      <c r="F86" s="76"/>
      <c r="G86" s="76"/>
      <c r="H86" s="76"/>
      <c r="I86" s="76"/>
      <c r="J86" s="76"/>
      <c r="K86" s="76"/>
      <c r="L86" s="76"/>
      <c r="M86" s="76"/>
      <c r="N86" s="76"/>
      <c r="O86" s="76"/>
      <c r="P86" s="76"/>
      <c r="Q86" s="76"/>
      <c r="R86" s="76"/>
      <c r="S86" s="76"/>
      <c r="T86" s="76"/>
      <c r="U86" s="75"/>
      <c r="V86" s="76"/>
      <c r="W86" s="76"/>
      <c r="X86" s="76"/>
    </row>
    <row r="87" spans="1:24" s="113" customFormat="1">
      <c r="A87" s="76"/>
      <c r="B87" s="76"/>
      <c r="C87" s="76"/>
      <c r="D87" s="76"/>
      <c r="E87" s="76"/>
      <c r="F87" s="76"/>
      <c r="G87" s="76"/>
      <c r="H87" s="76"/>
      <c r="I87" s="76"/>
      <c r="J87" s="76"/>
      <c r="K87" s="76"/>
      <c r="L87" s="76"/>
      <c r="M87" s="76"/>
      <c r="N87" s="76"/>
      <c r="O87" s="76"/>
      <c r="P87" s="76"/>
      <c r="Q87" s="76"/>
      <c r="R87" s="76"/>
      <c r="S87" s="76"/>
      <c r="T87" s="76"/>
      <c r="U87" s="75"/>
      <c r="V87" s="76"/>
      <c r="W87" s="76"/>
      <c r="X87" s="76"/>
    </row>
    <row r="88" spans="1:24" s="113" customFormat="1">
      <c r="A88" s="76"/>
      <c r="B88" s="76"/>
      <c r="C88" s="76"/>
      <c r="D88" s="76"/>
      <c r="E88" s="76"/>
      <c r="F88" s="76"/>
      <c r="G88" s="76"/>
      <c r="H88" s="76"/>
      <c r="I88" s="76"/>
      <c r="J88" s="76"/>
      <c r="K88" s="76"/>
      <c r="L88" s="76"/>
      <c r="M88" s="76"/>
      <c r="N88" s="76"/>
      <c r="O88" s="76"/>
      <c r="P88" s="76"/>
      <c r="Q88" s="76"/>
      <c r="R88" s="76"/>
      <c r="S88" s="76"/>
      <c r="T88" s="76"/>
      <c r="U88" s="75"/>
      <c r="V88" s="76"/>
      <c r="W88" s="76"/>
      <c r="X88" s="76"/>
    </row>
    <row r="89" spans="1:24" s="113" customFormat="1">
      <c r="A89" s="76"/>
      <c r="B89" s="76"/>
      <c r="C89" s="76"/>
      <c r="D89" s="76"/>
      <c r="E89" s="76"/>
      <c r="F89" s="76"/>
      <c r="G89" s="76"/>
      <c r="H89" s="76"/>
      <c r="I89" s="76"/>
      <c r="J89" s="76"/>
      <c r="K89" s="76"/>
      <c r="L89" s="76"/>
      <c r="M89" s="76"/>
      <c r="N89" s="76"/>
      <c r="O89" s="76"/>
      <c r="P89" s="76"/>
      <c r="Q89" s="76"/>
      <c r="R89" s="76"/>
      <c r="S89" s="76"/>
      <c r="T89" s="76"/>
      <c r="U89" s="75"/>
      <c r="V89" s="76"/>
      <c r="W89" s="76"/>
      <c r="X89" s="76"/>
    </row>
    <row r="90" spans="1:24" s="113" customFormat="1">
      <c r="A90" s="76"/>
      <c r="B90" s="76"/>
      <c r="C90" s="76"/>
      <c r="D90" s="76"/>
      <c r="E90" s="76"/>
      <c r="F90" s="76"/>
      <c r="G90" s="76"/>
      <c r="H90" s="76"/>
      <c r="I90" s="76"/>
      <c r="J90" s="76"/>
      <c r="K90" s="76"/>
      <c r="L90" s="76"/>
      <c r="M90" s="76"/>
      <c r="N90" s="76"/>
      <c r="O90" s="76"/>
      <c r="P90" s="76"/>
      <c r="Q90" s="76"/>
      <c r="R90" s="76"/>
      <c r="S90" s="76"/>
      <c r="T90" s="76"/>
      <c r="U90" s="75"/>
      <c r="V90" s="76"/>
      <c r="W90" s="76"/>
      <c r="X90" s="76"/>
    </row>
    <row r="91" spans="1:24" s="113" customFormat="1">
      <c r="A91" s="76"/>
      <c r="B91" s="76"/>
      <c r="C91" s="76"/>
      <c r="D91" s="76"/>
      <c r="E91" s="76"/>
      <c r="F91" s="76"/>
      <c r="G91" s="76"/>
      <c r="H91" s="76"/>
      <c r="I91" s="76"/>
      <c r="J91" s="76"/>
      <c r="K91" s="76"/>
      <c r="L91" s="76"/>
      <c r="M91" s="76"/>
      <c r="N91" s="76"/>
      <c r="O91" s="76"/>
      <c r="P91" s="76"/>
      <c r="Q91" s="76"/>
      <c r="R91" s="76"/>
      <c r="S91" s="76"/>
      <c r="T91" s="76"/>
      <c r="U91" s="75"/>
      <c r="V91" s="76"/>
      <c r="W91" s="76"/>
      <c r="X91" s="76"/>
    </row>
    <row r="92" spans="1:24" s="113" customFormat="1">
      <c r="A92" s="76"/>
      <c r="B92" s="76"/>
      <c r="C92" s="76"/>
      <c r="D92" s="76"/>
      <c r="E92" s="76"/>
      <c r="F92" s="76"/>
      <c r="G92" s="76"/>
      <c r="H92" s="76"/>
      <c r="I92" s="76"/>
      <c r="J92" s="76"/>
      <c r="K92" s="76"/>
      <c r="L92" s="76"/>
      <c r="M92" s="76"/>
      <c r="N92" s="76"/>
      <c r="O92" s="76"/>
      <c r="P92" s="76"/>
      <c r="Q92" s="76"/>
      <c r="R92" s="76"/>
      <c r="S92" s="76"/>
      <c r="T92" s="76"/>
      <c r="U92" s="75"/>
      <c r="V92" s="76"/>
      <c r="W92" s="76"/>
      <c r="X92" s="76"/>
    </row>
    <row r="93" spans="1:24" s="113" customFormat="1">
      <c r="A93" s="76"/>
      <c r="B93" s="76"/>
      <c r="C93" s="76"/>
      <c r="D93" s="76"/>
      <c r="E93" s="76"/>
      <c r="F93" s="76"/>
      <c r="G93" s="76"/>
      <c r="H93" s="76"/>
      <c r="I93" s="76"/>
      <c r="J93" s="76"/>
      <c r="K93" s="76"/>
      <c r="L93" s="76"/>
      <c r="M93" s="76"/>
      <c r="N93" s="76"/>
      <c r="O93" s="76"/>
      <c r="P93" s="76"/>
      <c r="Q93" s="76"/>
      <c r="R93" s="76"/>
      <c r="S93" s="76"/>
      <c r="T93" s="76"/>
      <c r="U93" s="75"/>
      <c r="V93" s="76"/>
      <c r="W93" s="76"/>
      <c r="X93" s="76"/>
    </row>
    <row r="94" spans="1:24" s="113" customFormat="1">
      <c r="A94" s="75"/>
      <c r="B94" s="75"/>
      <c r="C94" s="75"/>
      <c r="D94" s="75"/>
      <c r="E94" s="119"/>
      <c r="F94" s="81"/>
      <c r="G94" s="81"/>
      <c r="H94" s="81"/>
      <c r="I94" s="81"/>
      <c r="J94" s="81"/>
      <c r="K94" s="75"/>
      <c r="L94" s="75"/>
      <c r="M94" s="75"/>
      <c r="N94" s="76"/>
      <c r="O94" s="76"/>
      <c r="P94" s="76"/>
      <c r="Q94" s="76"/>
      <c r="R94" s="76"/>
      <c r="S94" s="76"/>
      <c r="T94" s="76"/>
      <c r="U94" s="76"/>
      <c r="V94" s="76"/>
      <c r="W94" s="76"/>
      <c r="X94" s="76"/>
    </row>
    <row r="95" spans="1:24" s="113" customFormat="1">
      <c r="A95" s="75"/>
      <c r="B95" s="75"/>
      <c r="C95" s="75"/>
      <c r="D95" s="75"/>
      <c r="E95" s="119"/>
      <c r="F95" s="81"/>
      <c r="G95" s="81"/>
      <c r="H95" s="81"/>
      <c r="I95" s="81"/>
      <c r="J95" s="81"/>
      <c r="K95" s="75"/>
      <c r="L95" s="75"/>
      <c r="M95" s="75"/>
      <c r="N95" s="76"/>
      <c r="O95" s="76"/>
      <c r="P95" s="76"/>
      <c r="Q95" s="76"/>
      <c r="R95" s="76"/>
      <c r="S95" s="76"/>
      <c r="T95" s="76"/>
      <c r="U95" s="76"/>
      <c r="V95" s="76"/>
      <c r="W95" s="76"/>
      <c r="X95" s="76"/>
    </row>
    <row r="96" spans="1:24" s="113" customFormat="1">
      <c r="A96" s="75"/>
      <c r="B96" s="75"/>
      <c r="C96" s="75"/>
      <c r="D96" s="75"/>
      <c r="E96" s="119"/>
      <c r="F96" s="81"/>
      <c r="G96" s="81"/>
      <c r="H96" s="81"/>
      <c r="I96" s="81"/>
      <c r="J96" s="81"/>
      <c r="K96" s="75"/>
      <c r="L96" s="75"/>
      <c r="M96" s="75"/>
      <c r="N96" s="76"/>
      <c r="O96" s="76"/>
      <c r="P96" s="76"/>
      <c r="Q96" s="76"/>
      <c r="R96" s="76"/>
      <c r="S96" s="76"/>
      <c r="T96" s="76"/>
      <c r="U96" s="76"/>
      <c r="V96" s="76"/>
      <c r="W96" s="76"/>
      <c r="X96" s="76"/>
    </row>
    <row r="97" spans="1:48" s="113" customFormat="1">
      <c r="A97" s="75"/>
      <c r="B97" s="75"/>
      <c r="C97" s="75"/>
      <c r="D97" s="75"/>
      <c r="E97" s="119"/>
      <c r="F97" s="81"/>
      <c r="G97" s="81"/>
      <c r="H97" s="81"/>
      <c r="I97" s="81"/>
      <c r="J97" s="81"/>
      <c r="K97" s="79"/>
      <c r="L97" s="75"/>
      <c r="M97" s="75"/>
      <c r="N97" s="76"/>
      <c r="O97" s="76"/>
      <c r="P97" s="76"/>
      <c r="Q97" s="76"/>
      <c r="R97" s="76"/>
      <c r="S97" s="76"/>
      <c r="T97" s="76"/>
      <c r="U97" s="76"/>
      <c r="V97" s="76"/>
      <c r="W97" s="76"/>
      <c r="X97" s="76"/>
    </row>
    <row r="98" spans="1:48" s="113" customFormat="1">
      <c r="A98" s="75"/>
      <c r="B98" s="75"/>
      <c r="C98" s="75"/>
      <c r="D98" s="75"/>
      <c r="E98" s="119"/>
      <c r="F98" s="81"/>
      <c r="G98" s="81"/>
      <c r="H98" s="81"/>
      <c r="I98" s="81"/>
      <c r="J98" s="81"/>
      <c r="K98" s="81"/>
      <c r="L98" s="81"/>
      <c r="M98" s="75"/>
      <c r="N98" s="76"/>
      <c r="O98" s="76"/>
      <c r="P98" s="76"/>
      <c r="Q98" s="76"/>
      <c r="R98" s="76"/>
      <c r="S98" s="76"/>
      <c r="T98" s="76"/>
      <c r="U98" s="76"/>
      <c r="V98" s="76"/>
      <c r="W98" s="76"/>
      <c r="X98" s="76"/>
    </row>
    <row r="99" spans="1:48">
      <c r="A99" s="9"/>
      <c r="B99" s="9"/>
      <c r="C99" s="9"/>
      <c r="D99" s="75"/>
      <c r="E99" s="81"/>
      <c r="F99" s="81"/>
      <c r="G99" s="76"/>
      <c r="H99" s="76"/>
      <c r="I99" s="76"/>
      <c r="J99" s="76"/>
      <c r="K99" s="76"/>
      <c r="L99" s="76"/>
      <c r="M99" s="76"/>
      <c r="N99" s="120"/>
      <c r="O99" s="76"/>
      <c r="P99" s="76"/>
      <c r="Q99" s="76"/>
      <c r="R99" s="76"/>
      <c r="S99" s="76"/>
      <c r="T99" s="76"/>
      <c r="U99" s="76"/>
      <c r="V99" s="76"/>
      <c r="W99" s="76"/>
      <c r="X99" s="76"/>
      <c r="Y99" s="113"/>
      <c r="Z99" s="113"/>
      <c r="AA99" s="113"/>
      <c r="AB99" s="113"/>
      <c r="AC99" s="113"/>
      <c r="AD99" s="113"/>
      <c r="AE99" s="113"/>
      <c r="AF99" s="113"/>
      <c r="AG99" s="113"/>
      <c r="AH99" s="113"/>
      <c r="AI99" s="113"/>
      <c r="AJ99" s="113"/>
      <c r="AK99" s="113"/>
      <c r="AL99" s="113"/>
      <c r="AM99" s="113"/>
      <c r="AN99" s="113"/>
      <c r="AO99" s="113"/>
      <c r="AP99" s="113"/>
      <c r="AQ99" s="113"/>
      <c r="AR99" s="113"/>
      <c r="AS99" s="113"/>
      <c r="AT99" s="113"/>
      <c r="AU99" s="113"/>
      <c r="AV99" s="113"/>
    </row>
    <row r="100" spans="1:48">
      <c r="D100" s="113"/>
      <c r="E100" s="113"/>
      <c r="F100" s="113"/>
      <c r="G100" s="113"/>
      <c r="H100" s="113"/>
      <c r="I100" s="113"/>
      <c r="J100" s="113"/>
      <c r="K100" s="113"/>
      <c r="L100" s="113"/>
      <c r="M100" s="113"/>
      <c r="N100" s="113"/>
      <c r="O100" s="113"/>
      <c r="P100" s="113"/>
      <c r="Q100" s="113"/>
      <c r="R100" s="113"/>
      <c r="S100" s="113"/>
      <c r="T100" s="113"/>
      <c r="U100" s="113"/>
      <c r="V100" s="113"/>
      <c r="W100" s="113"/>
      <c r="X100" s="113"/>
      <c r="Y100" s="113"/>
      <c r="Z100" s="113"/>
      <c r="AA100" s="113"/>
      <c r="AB100" s="113"/>
      <c r="AC100" s="113"/>
      <c r="AD100" s="113"/>
      <c r="AE100" s="113"/>
      <c r="AF100" s="113"/>
      <c r="AG100" s="113"/>
      <c r="AH100" s="113"/>
      <c r="AI100" s="113"/>
      <c r="AJ100" s="113"/>
      <c r="AK100" s="113"/>
      <c r="AL100" s="113"/>
      <c r="AM100" s="113"/>
      <c r="AN100" s="113"/>
      <c r="AO100" s="113"/>
      <c r="AP100" s="113"/>
      <c r="AQ100" s="113"/>
      <c r="AR100" s="113"/>
      <c r="AS100" s="113"/>
      <c r="AT100" s="113"/>
      <c r="AU100" s="113"/>
      <c r="AV100" s="113"/>
    </row>
    <row r="101" spans="1:48">
      <c r="D101" s="113"/>
      <c r="E101" s="113"/>
      <c r="F101" s="113"/>
      <c r="G101" s="113"/>
      <c r="H101" s="113"/>
      <c r="I101" s="113"/>
      <c r="J101" s="113"/>
      <c r="K101" s="113"/>
      <c r="L101" s="113"/>
      <c r="M101" s="113"/>
      <c r="N101" s="113"/>
      <c r="O101" s="113"/>
      <c r="P101" s="113"/>
      <c r="Q101" s="113"/>
      <c r="R101" s="113"/>
      <c r="S101" s="113"/>
      <c r="T101" s="113"/>
      <c r="U101" s="113"/>
      <c r="V101" s="113"/>
      <c r="W101" s="113"/>
      <c r="X101" s="113"/>
      <c r="Y101" s="113"/>
      <c r="Z101" s="113"/>
      <c r="AA101" s="113"/>
      <c r="AB101" s="113"/>
      <c r="AC101" s="113"/>
      <c r="AD101" s="113"/>
      <c r="AE101" s="113"/>
      <c r="AF101" s="113"/>
      <c r="AG101" s="113"/>
      <c r="AH101" s="113"/>
      <c r="AI101" s="113"/>
      <c r="AJ101" s="113"/>
      <c r="AK101" s="113"/>
      <c r="AL101" s="113"/>
      <c r="AM101" s="113"/>
      <c r="AN101" s="113"/>
      <c r="AO101" s="113"/>
      <c r="AP101" s="113"/>
      <c r="AQ101" s="113"/>
      <c r="AR101" s="113"/>
      <c r="AS101" s="113"/>
      <c r="AT101" s="113"/>
      <c r="AU101" s="113"/>
      <c r="AV101" s="113"/>
    </row>
    <row r="102" spans="1:48">
      <c r="D102" s="113"/>
      <c r="E102" s="113"/>
      <c r="F102" s="113"/>
      <c r="G102" s="113"/>
      <c r="H102" s="113"/>
      <c r="I102" s="113"/>
      <c r="J102" s="113"/>
      <c r="K102" s="113"/>
      <c r="L102" s="113"/>
      <c r="M102" s="113"/>
      <c r="N102" s="113"/>
      <c r="O102" s="113"/>
      <c r="P102" s="113"/>
      <c r="Q102" s="113"/>
      <c r="R102" s="113"/>
      <c r="S102" s="113"/>
      <c r="T102" s="113"/>
      <c r="U102" s="113"/>
      <c r="V102" s="113"/>
      <c r="W102" s="113"/>
      <c r="X102" s="113"/>
      <c r="Y102" s="113"/>
      <c r="Z102" s="113"/>
      <c r="AA102" s="113"/>
      <c r="AB102" s="113"/>
      <c r="AC102" s="113"/>
      <c r="AD102" s="113"/>
      <c r="AE102" s="113"/>
      <c r="AF102" s="113"/>
      <c r="AG102" s="113"/>
      <c r="AH102" s="113"/>
      <c r="AI102" s="113"/>
      <c r="AJ102" s="113"/>
      <c r="AK102" s="113"/>
      <c r="AL102" s="113"/>
      <c r="AM102" s="113"/>
      <c r="AN102" s="113"/>
      <c r="AO102" s="113"/>
      <c r="AP102" s="113"/>
      <c r="AQ102" s="113"/>
      <c r="AR102" s="113"/>
      <c r="AS102" s="113"/>
      <c r="AT102" s="113"/>
      <c r="AU102" s="113"/>
      <c r="AV102" s="113"/>
    </row>
    <row r="103" spans="1:48">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3"/>
      <c r="AL103" s="113"/>
      <c r="AM103" s="113"/>
      <c r="AN103" s="113"/>
      <c r="AO103" s="113"/>
      <c r="AP103" s="113"/>
      <c r="AQ103" s="113"/>
      <c r="AR103" s="113"/>
      <c r="AS103" s="113"/>
      <c r="AT103" s="113"/>
      <c r="AU103" s="113"/>
      <c r="AV103" s="113"/>
    </row>
    <row r="104" spans="1:48">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3"/>
      <c r="AL104" s="113"/>
      <c r="AM104" s="113"/>
      <c r="AN104" s="113"/>
      <c r="AO104" s="113"/>
      <c r="AP104" s="113"/>
      <c r="AQ104" s="113"/>
      <c r="AR104" s="113"/>
      <c r="AS104" s="113"/>
      <c r="AT104" s="113"/>
      <c r="AU104" s="113"/>
      <c r="AV104" s="113"/>
    </row>
    <row r="105" spans="1:48">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3"/>
      <c r="AL105" s="113"/>
      <c r="AM105" s="113"/>
      <c r="AN105" s="113"/>
      <c r="AO105" s="113"/>
      <c r="AP105" s="113"/>
      <c r="AQ105" s="113"/>
      <c r="AR105" s="113"/>
      <c r="AS105" s="113"/>
      <c r="AT105" s="113"/>
      <c r="AU105" s="113"/>
      <c r="AV105" s="113"/>
    </row>
    <row r="106" spans="1:48">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3"/>
      <c r="AL106" s="113"/>
      <c r="AM106" s="113"/>
      <c r="AN106" s="113"/>
      <c r="AO106" s="113"/>
      <c r="AP106" s="113"/>
      <c r="AQ106" s="113"/>
      <c r="AR106" s="113"/>
      <c r="AS106" s="113"/>
      <c r="AT106" s="113"/>
      <c r="AU106" s="113"/>
      <c r="AV106" s="113"/>
    </row>
    <row r="107" spans="1:48">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3"/>
      <c r="AL107" s="113"/>
      <c r="AM107" s="113"/>
      <c r="AN107" s="113"/>
      <c r="AO107" s="113"/>
      <c r="AP107" s="113"/>
      <c r="AQ107" s="113"/>
      <c r="AR107" s="113"/>
      <c r="AS107" s="113"/>
      <c r="AT107" s="113"/>
      <c r="AU107" s="113"/>
      <c r="AV107" s="113"/>
    </row>
    <row r="108" spans="1:48">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3"/>
      <c r="AL108" s="113"/>
      <c r="AM108" s="113"/>
      <c r="AN108" s="113"/>
      <c r="AO108" s="113"/>
      <c r="AP108" s="113"/>
      <c r="AQ108" s="113"/>
      <c r="AR108" s="113"/>
      <c r="AS108" s="113"/>
      <c r="AT108" s="113"/>
      <c r="AU108" s="113"/>
      <c r="AV108" s="113"/>
    </row>
    <row r="109" spans="1:48">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3"/>
      <c r="AL109" s="113"/>
      <c r="AM109" s="113"/>
      <c r="AN109" s="113"/>
      <c r="AO109" s="113"/>
      <c r="AP109" s="113"/>
      <c r="AQ109" s="113"/>
      <c r="AR109" s="113"/>
      <c r="AS109" s="113"/>
      <c r="AT109" s="113"/>
      <c r="AU109" s="113"/>
      <c r="AV109" s="113"/>
    </row>
  </sheetData>
  <sheetProtection algorithmName="SHA-512" hashValue="AbbNDKLgo5RKQ5SyBmslg9DMovRihKa26cRFUlrSUq2Ne56oWcHvfZRmxINEXzuVmPlPMzqOfYZbGc+edyXMBQ==" saltValue="iKdOzwZABMcpun0ZodKQbQ==" spinCount="100000" sheet="1" scenarios="1" formatCells="0" formatColumns="0" formatRows="0" insertColumns="0" insertRows="0" deleteColumns="0" deleteRows="0" selectLockedCells="1"/>
  <mergeCells count="176">
    <mergeCell ref="AF49:AN49"/>
    <mergeCell ref="A47:D47"/>
    <mergeCell ref="E47:K47"/>
    <mergeCell ref="L47:M47"/>
    <mergeCell ref="N47:Q47"/>
    <mergeCell ref="N43:Q43"/>
    <mergeCell ref="R43:W43"/>
    <mergeCell ref="X43:AA43"/>
    <mergeCell ref="AB43:AE43"/>
    <mergeCell ref="AF43:AN43"/>
    <mergeCell ref="AB44:AE44"/>
    <mergeCell ref="AF44:AN44"/>
    <mergeCell ref="A54:J54"/>
    <mergeCell ref="K54:AN54"/>
    <mergeCell ref="A52:D52"/>
    <mergeCell ref="E52:K52"/>
    <mergeCell ref="L52:M52"/>
    <mergeCell ref="N52:Q52"/>
    <mergeCell ref="R52:W52"/>
    <mergeCell ref="X52:AA52"/>
    <mergeCell ref="AB52:AE52"/>
    <mergeCell ref="AF52:AN52"/>
    <mergeCell ref="A49:D49"/>
    <mergeCell ref="E49:K49"/>
    <mergeCell ref="L49:M49"/>
    <mergeCell ref="N49:Q49"/>
    <mergeCell ref="R49:W49"/>
    <mergeCell ref="X49:AA49"/>
    <mergeCell ref="AB49:AE49"/>
    <mergeCell ref="R47:W47"/>
    <mergeCell ref="X47:AA47"/>
    <mergeCell ref="AB47:AE47"/>
    <mergeCell ref="AF47:AN47"/>
    <mergeCell ref="A48:D48"/>
    <mergeCell ref="E48:K48"/>
    <mergeCell ref="L48:M48"/>
    <mergeCell ref="N48:Q48"/>
    <mergeCell ref="R48:W48"/>
    <mergeCell ref="X48:AA48"/>
    <mergeCell ref="AB48:AE48"/>
    <mergeCell ref="AF48:AN48"/>
    <mergeCell ref="A45:D45"/>
    <mergeCell ref="E45:K45"/>
    <mergeCell ref="L45:M45"/>
    <mergeCell ref="N45:Q45"/>
    <mergeCell ref="R45:W45"/>
    <mergeCell ref="X45:AA45"/>
    <mergeCell ref="AB45:AE45"/>
    <mergeCell ref="AF45:AN45"/>
    <mergeCell ref="A46:D46"/>
    <mergeCell ref="E46:K46"/>
    <mergeCell ref="L46:M46"/>
    <mergeCell ref="N46:Q46"/>
    <mergeCell ref="R46:W46"/>
    <mergeCell ref="X46:AA46"/>
    <mergeCell ref="AB46:AE46"/>
    <mergeCell ref="AF46:AN46"/>
    <mergeCell ref="AJ5:AM5"/>
    <mergeCell ref="D7:Q7"/>
    <mergeCell ref="U7:AN7"/>
    <mergeCell ref="D11:Q11"/>
    <mergeCell ref="U11:AN11"/>
    <mergeCell ref="D14:Q14"/>
    <mergeCell ref="U14:AN14"/>
    <mergeCell ref="A2:AH4"/>
    <mergeCell ref="E5:F5"/>
    <mergeCell ref="H5:I5"/>
    <mergeCell ref="J5:K5"/>
    <mergeCell ref="AG5:AI5"/>
    <mergeCell ref="D8:Q8"/>
    <mergeCell ref="U8:AN8"/>
    <mergeCell ref="Y5:AA5"/>
    <mergeCell ref="AB5:AF5"/>
    <mergeCell ref="D26:Q26"/>
    <mergeCell ref="U26:AN26"/>
    <mergeCell ref="D30:Q30"/>
    <mergeCell ref="U30:AN30"/>
    <mergeCell ref="A32:J32"/>
    <mergeCell ref="K32:Q32"/>
    <mergeCell ref="R32:X32"/>
    <mergeCell ref="Y32:AN32"/>
    <mergeCell ref="D17:Q17"/>
    <mergeCell ref="U17:AN17"/>
    <mergeCell ref="D20:Q20"/>
    <mergeCell ref="U20:AN20"/>
    <mergeCell ref="D23:Q23"/>
    <mergeCell ref="U23:AN23"/>
    <mergeCell ref="D29:Q29"/>
    <mergeCell ref="V29:AN29"/>
    <mergeCell ref="AH34:AJ34"/>
    <mergeCell ref="AK34:AN34"/>
    <mergeCell ref="A35:F35"/>
    <mergeCell ref="G35:Q35"/>
    <mergeCell ref="R35:X35"/>
    <mergeCell ref="Y35:AN35"/>
    <mergeCell ref="A33:H33"/>
    <mergeCell ref="I33:Q33"/>
    <mergeCell ref="R33:X33"/>
    <mergeCell ref="Y33:AN33"/>
    <mergeCell ref="A34:F34"/>
    <mergeCell ref="G34:K34"/>
    <mergeCell ref="L34:M34"/>
    <mergeCell ref="N34:Q34"/>
    <mergeCell ref="R34:X34"/>
    <mergeCell ref="Y34:AG34"/>
    <mergeCell ref="A44:D44"/>
    <mergeCell ref="E44:K44"/>
    <mergeCell ref="L44:M44"/>
    <mergeCell ref="N44:Q44"/>
    <mergeCell ref="R44:W44"/>
    <mergeCell ref="X44:AA44"/>
    <mergeCell ref="A38:F38"/>
    <mergeCell ref="G38:Q38"/>
    <mergeCell ref="R38:X38"/>
    <mergeCell ref="Y38:AN38"/>
    <mergeCell ref="AF41:AN41"/>
    <mergeCell ref="AB41:AE41"/>
    <mergeCell ref="R41:W41"/>
    <mergeCell ref="A42:D42"/>
    <mergeCell ref="E42:K42"/>
    <mergeCell ref="L42:M42"/>
    <mergeCell ref="N42:Q42"/>
    <mergeCell ref="R42:W42"/>
    <mergeCell ref="X42:AA42"/>
    <mergeCell ref="AB42:AE42"/>
    <mergeCell ref="AF42:AN42"/>
    <mergeCell ref="A43:D43"/>
    <mergeCell ref="E43:K43"/>
    <mergeCell ref="L43:M43"/>
    <mergeCell ref="A36:F36"/>
    <mergeCell ref="G36:Q36"/>
    <mergeCell ref="R36:X36"/>
    <mergeCell ref="Y36:AN36"/>
    <mergeCell ref="A37:G37"/>
    <mergeCell ref="H37:Q37"/>
    <mergeCell ref="R37:Z37"/>
    <mergeCell ref="AA37:AN37"/>
    <mergeCell ref="A51:D51"/>
    <mergeCell ref="E51:K51"/>
    <mergeCell ref="L51:M51"/>
    <mergeCell ref="AF40:AN40"/>
    <mergeCell ref="L41:M41"/>
    <mergeCell ref="A40:D40"/>
    <mergeCell ref="E40:K40"/>
    <mergeCell ref="L40:M40"/>
    <mergeCell ref="N40:Q40"/>
    <mergeCell ref="R40:W40"/>
    <mergeCell ref="X40:AA40"/>
    <mergeCell ref="A41:D41"/>
    <mergeCell ref="E41:K41"/>
    <mergeCell ref="N41:Q41"/>
    <mergeCell ref="AB40:AE40"/>
    <mergeCell ref="X41:AA41"/>
    <mergeCell ref="K55:AN55"/>
    <mergeCell ref="A55:J55"/>
    <mergeCell ref="A50:D50"/>
    <mergeCell ref="E50:K50"/>
    <mergeCell ref="L53:M53"/>
    <mergeCell ref="AB53:AE53"/>
    <mergeCell ref="A53:D53"/>
    <mergeCell ref="E53:K53"/>
    <mergeCell ref="AF53:AN53"/>
    <mergeCell ref="R53:W53"/>
    <mergeCell ref="N51:Q51"/>
    <mergeCell ref="L50:M50"/>
    <mergeCell ref="R51:W51"/>
    <mergeCell ref="N50:Q50"/>
    <mergeCell ref="N53:Q53"/>
    <mergeCell ref="AB50:AE50"/>
    <mergeCell ref="X50:AA50"/>
    <mergeCell ref="AF51:AN51"/>
    <mergeCell ref="AF50:AN50"/>
    <mergeCell ref="X53:AA53"/>
    <mergeCell ref="AB51:AE51"/>
    <mergeCell ref="X51:AA51"/>
    <mergeCell ref="R50:W50"/>
  </mergeCells>
  <phoneticPr fontId="40" type="noConversion"/>
  <printOptions horizontalCentered="1"/>
  <pageMargins left="0.6692913385826772" right="0.47244094488188981" top="0.59055118110236227" bottom="0.31496062992125984" header="0.31496062992125984" footer="0.19685039370078741"/>
  <pageSetup paperSize="9" scale="66" fitToHeight="0" orientation="portrait" r:id="rId1"/>
  <headerFooter>
    <oddHeader>&amp;R&amp;G</oddHeader>
    <oddFooter>&amp;LMHG-PU-F-0019&amp;CPPA-Template ; Rev.: 01/2019&amp;RJ.-U. Liedtke / PU-SD-GA</oddFooter>
  </headerFooter>
  <legacyDrawingHF r:id="rId2"/>
  <extLst>
    <ext xmlns:mx="http://schemas.microsoft.com/office/mac/excel/2008/main" uri="{64002731-A6B0-56B0-2670-7721B7C09600}">
      <mx:PLV Mode="0" OnePage="0" WScale="0"/>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O145"/>
  <sheetViews>
    <sheetView showGridLines="0" zoomScaleNormal="100" workbookViewId="0">
      <selection activeCell="G5" sqref="G5"/>
    </sheetView>
  </sheetViews>
  <sheetFormatPr baseColWidth="10" defaultColWidth="9.140625" defaultRowHeight="12.75"/>
  <cols>
    <col min="1" max="1" width="0.7109375" style="24" customWidth="1"/>
    <col min="2" max="2" width="3" style="24" customWidth="1"/>
    <col min="3" max="3" width="0.7109375" style="24" customWidth="1"/>
    <col min="4" max="4" width="3" style="24" customWidth="1"/>
    <col min="5" max="5" width="4.85546875" style="24" customWidth="1"/>
    <col min="6" max="6" width="6.7109375" style="24" customWidth="1"/>
    <col min="7" max="7" width="8.28515625" style="24" customWidth="1"/>
    <col min="8" max="9" width="3.42578125" style="24" customWidth="1"/>
    <col min="10" max="10" width="4.28515625" style="24" customWidth="1"/>
    <col min="11" max="11" width="4" style="24" customWidth="1"/>
    <col min="12" max="12" width="3.85546875" style="24" customWidth="1"/>
    <col min="13" max="13" width="4.7109375" style="24" customWidth="1"/>
    <col min="14" max="14" width="3.140625" style="24" customWidth="1"/>
    <col min="15" max="15" width="3.42578125" style="24" customWidth="1"/>
    <col min="16" max="16" width="5.140625" style="24" customWidth="1"/>
    <col min="17" max="17" width="1.7109375" style="24" customWidth="1"/>
    <col min="18" max="18" width="0.7109375" style="24" customWidth="1"/>
    <col min="19" max="19" width="3" style="24" customWidth="1"/>
    <col min="20" max="20" width="0.7109375" style="24" customWidth="1"/>
    <col min="21" max="21" width="3.7109375" style="24" customWidth="1"/>
    <col min="22" max="22" width="3.140625" style="24" customWidth="1"/>
    <col min="23" max="23" width="3.42578125" style="24" customWidth="1"/>
    <col min="24" max="24" width="4" style="24" customWidth="1"/>
    <col min="25" max="25" width="3.42578125" style="24" customWidth="1"/>
    <col min="26" max="26" width="3.7109375" style="24" customWidth="1"/>
    <col min="27" max="31" width="3.42578125" style="24" customWidth="1"/>
    <col min="32" max="32" width="2.42578125" style="24" customWidth="1"/>
    <col min="33" max="33" width="3.7109375" style="24" customWidth="1"/>
    <col min="34" max="39" width="3.42578125" style="24" customWidth="1"/>
    <col min="40" max="40" width="2.7109375" style="24" customWidth="1"/>
    <col min="41" max="71" width="9.140625" style="113"/>
    <col min="72" max="16384" width="9.140625" style="24"/>
  </cols>
  <sheetData>
    <row r="1" spans="1:51" ht="9" customHeight="1">
      <c r="A1" s="113"/>
      <c r="B1" s="113"/>
      <c r="C1" s="113"/>
      <c r="D1" s="113"/>
      <c r="E1" s="113"/>
      <c r="F1" s="113"/>
      <c r="G1" s="113"/>
      <c r="H1" s="113"/>
      <c r="I1" s="113"/>
      <c r="J1" s="113"/>
      <c r="K1" s="113"/>
      <c r="L1" s="113"/>
      <c r="M1" s="113"/>
      <c r="N1" s="113"/>
      <c r="O1" s="113"/>
      <c r="P1" s="113"/>
      <c r="Q1" s="113"/>
      <c r="R1" s="113"/>
      <c r="S1" s="113"/>
      <c r="T1" s="113"/>
      <c r="U1" s="113"/>
      <c r="V1" s="113"/>
      <c r="W1" s="113"/>
      <c r="X1" s="113"/>
      <c r="Y1" s="113"/>
      <c r="Z1" s="113"/>
      <c r="AA1" s="113"/>
      <c r="AB1" s="113"/>
      <c r="AC1" s="113"/>
      <c r="AD1" s="113"/>
      <c r="AE1" s="113"/>
      <c r="AF1" s="113"/>
      <c r="AG1" s="113"/>
      <c r="AH1" s="113"/>
      <c r="AI1" s="113"/>
      <c r="AJ1" s="113"/>
      <c r="AK1" s="113"/>
      <c r="AL1" s="113"/>
      <c r="AM1" s="113"/>
      <c r="AN1" s="113"/>
      <c r="AO1" s="63"/>
      <c r="AP1" s="63"/>
      <c r="AQ1" s="63"/>
      <c r="AR1" s="63"/>
      <c r="AS1" s="63"/>
      <c r="AT1" s="63"/>
      <c r="AU1" s="63"/>
      <c r="AV1" s="63"/>
      <c r="AW1" s="63"/>
      <c r="AX1" s="63"/>
      <c r="AY1" s="63"/>
    </row>
    <row r="2" spans="1:51">
      <c r="A2" s="1662" t="str">
        <f>VLOOKUP("prozessbezogene und sonstige dokumente",Translations!$A:$T,MATCH(Cover!DR19,Translations!A2:P2,0),0)</f>
        <v>Process-related and other documents</v>
      </c>
      <c r="B2" s="1662"/>
      <c r="C2" s="1662"/>
      <c r="D2" s="1662"/>
      <c r="E2" s="1662"/>
      <c r="F2" s="1662"/>
      <c r="G2" s="1662"/>
      <c r="H2" s="1662"/>
      <c r="I2" s="1662"/>
      <c r="J2" s="1662"/>
      <c r="K2" s="1662"/>
      <c r="L2" s="1662"/>
      <c r="M2" s="1662"/>
      <c r="N2" s="1662"/>
      <c r="O2" s="1662"/>
      <c r="P2" s="1662"/>
      <c r="Q2" s="1662"/>
      <c r="R2" s="1662"/>
      <c r="S2" s="1662"/>
      <c r="T2" s="1662"/>
      <c r="U2" s="1662"/>
      <c r="V2" s="1662"/>
      <c r="W2" s="1662"/>
      <c r="X2" s="1662"/>
      <c r="Y2" s="1662"/>
      <c r="Z2" s="1662"/>
      <c r="AA2" s="1662"/>
      <c r="AB2" s="1662"/>
      <c r="AC2" s="1662"/>
      <c r="AD2" s="1662"/>
      <c r="AE2" s="1662"/>
      <c r="AF2" s="1662"/>
      <c r="AG2" s="1662"/>
      <c r="AH2" s="1662"/>
      <c r="AI2" s="113"/>
      <c r="AJ2" s="113"/>
      <c r="AK2" s="113"/>
      <c r="AL2" s="113"/>
      <c r="AM2" s="113"/>
      <c r="AN2" s="113"/>
      <c r="AO2" s="63"/>
      <c r="AP2" s="63"/>
      <c r="AQ2" s="63"/>
      <c r="AR2" s="63"/>
      <c r="AS2" s="63"/>
      <c r="AT2" s="63"/>
      <c r="AU2" s="63"/>
      <c r="AV2" s="63"/>
      <c r="AW2" s="63"/>
      <c r="AX2" s="63"/>
      <c r="AY2" s="63"/>
    </row>
    <row r="3" spans="1:51">
      <c r="A3" s="1662"/>
      <c r="B3" s="1662"/>
      <c r="C3" s="1662"/>
      <c r="D3" s="1662"/>
      <c r="E3" s="1662"/>
      <c r="F3" s="1662"/>
      <c r="G3" s="1662"/>
      <c r="H3" s="1662"/>
      <c r="I3" s="1662"/>
      <c r="J3" s="1662"/>
      <c r="K3" s="1662"/>
      <c r="L3" s="1662"/>
      <c r="M3" s="1662"/>
      <c r="N3" s="1662"/>
      <c r="O3" s="1662"/>
      <c r="P3" s="1662"/>
      <c r="Q3" s="1662"/>
      <c r="R3" s="1662"/>
      <c r="S3" s="1662"/>
      <c r="T3" s="1662"/>
      <c r="U3" s="1662"/>
      <c r="V3" s="1662"/>
      <c r="W3" s="1662"/>
      <c r="X3" s="1662"/>
      <c r="Y3" s="1662"/>
      <c r="Z3" s="1662"/>
      <c r="AA3" s="1662"/>
      <c r="AB3" s="1662"/>
      <c r="AC3" s="1662"/>
      <c r="AD3" s="1662"/>
      <c r="AE3" s="1662"/>
      <c r="AF3" s="1662"/>
      <c r="AG3" s="1662"/>
      <c r="AH3" s="1662"/>
      <c r="AI3" s="113"/>
      <c r="AJ3" s="113"/>
      <c r="AK3" s="113"/>
      <c r="AL3" s="113"/>
      <c r="AM3" s="113"/>
      <c r="AN3" s="113"/>
      <c r="AO3" s="63"/>
      <c r="AP3" s="63"/>
      <c r="AQ3" s="63"/>
      <c r="AR3" s="63"/>
      <c r="AS3" s="63"/>
      <c r="AT3" s="63"/>
      <c r="AU3" s="63"/>
      <c r="AV3" s="63"/>
      <c r="AW3" s="63"/>
      <c r="AX3" s="63"/>
      <c r="AY3" s="63"/>
    </row>
    <row r="4" spans="1:51" ht="10.5" customHeight="1">
      <c r="A4" s="1662"/>
      <c r="B4" s="1662"/>
      <c r="C4" s="1662"/>
      <c r="D4" s="1662"/>
      <c r="E4" s="1662"/>
      <c r="F4" s="1662"/>
      <c r="G4" s="1662"/>
      <c r="H4" s="1662"/>
      <c r="I4" s="1662"/>
      <c r="J4" s="1662"/>
      <c r="K4" s="1662"/>
      <c r="L4" s="1662"/>
      <c r="M4" s="1662"/>
      <c r="N4" s="1662"/>
      <c r="O4" s="1662"/>
      <c r="P4" s="1662"/>
      <c r="Q4" s="1662"/>
      <c r="R4" s="1662"/>
      <c r="S4" s="1662"/>
      <c r="T4" s="1662"/>
      <c r="U4" s="1662"/>
      <c r="V4" s="1662"/>
      <c r="W4" s="1662"/>
      <c r="X4" s="1662"/>
      <c r="Y4" s="1662"/>
      <c r="Z4" s="1662"/>
      <c r="AA4" s="1662"/>
      <c r="AB4" s="1662"/>
      <c r="AC4" s="1662"/>
      <c r="AD4" s="1662"/>
      <c r="AE4" s="1662"/>
      <c r="AF4" s="1662"/>
      <c r="AG4" s="1662"/>
      <c r="AH4" s="1662"/>
      <c r="AI4" s="113"/>
      <c r="AJ4" s="113"/>
      <c r="AK4" s="113"/>
      <c r="AL4" s="113"/>
      <c r="AM4" s="113"/>
      <c r="AN4" s="113"/>
      <c r="AO4" s="63"/>
      <c r="AP4" s="63"/>
      <c r="AQ4" s="63"/>
      <c r="AR4" s="63"/>
      <c r="AS4" s="63"/>
      <c r="AT4" s="63"/>
      <c r="AU4" s="63"/>
      <c r="AV4" s="63"/>
      <c r="AW4" s="63"/>
      <c r="AX4" s="63"/>
      <c r="AY4" s="63"/>
    </row>
    <row r="5" spans="1:51" ht="15">
      <c r="A5" s="113"/>
      <c r="B5" s="113"/>
      <c r="C5" s="113"/>
      <c r="D5" s="113"/>
      <c r="E5" s="1143" t="str">
        <f>VLOOKUP("blatt",Translations!$A:$T,MATCH(Cover!DR19,Translations!A2:P2,0),0)</f>
        <v>Page</v>
      </c>
      <c r="F5" s="1143"/>
      <c r="G5" s="462"/>
      <c r="H5" s="1143" t="str">
        <f>VLOOKUP("vonvv",Translations!$A:$T,MATCH(Cover!DR19,Translations!A2:P2,0),0)</f>
        <v>of</v>
      </c>
      <c r="I5" s="1143"/>
      <c r="J5" s="1151"/>
      <c r="K5" s="1151"/>
      <c r="L5" s="113"/>
      <c r="M5" s="113"/>
      <c r="N5" s="113"/>
      <c r="O5" s="113"/>
      <c r="P5" s="113"/>
      <c r="Q5" s="113"/>
      <c r="R5" s="113"/>
      <c r="S5" s="113"/>
      <c r="T5" s="113"/>
      <c r="U5" s="113"/>
      <c r="V5" s="113"/>
      <c r="W5" s="113"/>
      <c r="X5" s="113"/>
      <c r="Y5" s="113"/>
      <c r="Z5" s="1143" t="str">
        <f>VLOOKUP("standyy",Translations!$A:$T,MATCH(Cover!DR19,Translations!A2:P2,0),0)</f>
        <v>Status:</v>
      </c>
      <c r="AA5" s="1143"/>
      <c r="AB5" s="1143"/>
      <c r="AC5" s="1157"/>
      <c r="AD5" s="1157"/>
      <c r="AE5" s="1157"/>
      <c r="AF5" s="1157"/>
      <c r="AG5" s="1143" t="str">
        <f>VLOOKUP("ydatumf",Translations!$A:$T,MATCH(Cover!DR19,Translations!A2:P2,0),0)</f>
        <v>/ Date:</v>
      </c>
      <c r="AH5" s="1143"/>
      <c r="AI5" s="1143"/>
      <c r="AJ5" s="1150"/>
      <c r="AK5" s="1151"/>
      <c r="AL5" s="1151"/>
      <c r="AM5" s="1151"/>
      <c r="AN5" s="113"/>
      <c r="AO5" s="63"/>
      <c r="AP5" s="63"/>
      <c r="AQ5" s="63"/>
      <c r="AR5" s="63"/>
      <c r="AS5" s="63"/>
      <c r="AT5" s="63"/>
      <c r="AU5" s="63"/>
      <c r="AV5" s="63"/>
      <c r="AW5" s="63"/>
      <c r="AX5" s="63"/>
      <c r="AY5" s="63"/>
    </row>
    <row r="6" spans="1:51" ht="4.5" customHeight="1" thickBot="1">
      <c r="A6" s="113"/>
      <c r="B6" s="113"/>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3"/>
      <c r="AL6" s="113"/>
      <c r="AM6" s="113"/>
      <c r="AN6" s="113"/>
      <c r="AO6" s="63"/>
      <c r="AP6" s="63"/>
      <c r="AQ6" s="63"/>
      <c r="AR6" s="63"/>
      <c r="AS6" s="63"/>
      <c r="AT6" s="63"/>
      <c r="AU6" s="63"/>
      <c r="AV6" s="63"/>
      <c r="AW6" s="63"/>
      <c r="AX6" s="63"/>
      <c r="AY6" s="63"/>
    </row>
    <row r="7" spans="1:51" ht="3" customHeight="1">
      <c r="A7" s="279"/>
      <c r="B7" s="280"/>
      <c r="C7" s="280"/>
      <c r="D7" s="1148"/>
      <c r="E7" s="1148"/>
      <c r="F7" s="1148"/>
      <c r="G7" s="1148"/>
      <c r="H7" s="1148"/>
      <c r="I7" s="1148"/>
      <c r="J7" s="1148"/>
      <c r="K7" s="1148"/>
      <c r="L7" s="1148"/>
      <c r="M7" s="1148"/>
      <c r="N7" s="1148"/>
      <c r="O7" s="1148"/>
      <c r="P7" s="1148"/>
      <c r="Q7" s="1149"/>
      <c r="R7" s="279"/>
      <c r="S7" s="280"/>
      <c r="T7" s="280"/>
      <c r="U7" s="1148"/>
      <c r="V7" s="1148"/>
      <c r="W7" s="1148"/>
      <c r="X7" s="1148"/>
      <c r="Y7" s="1148"/>
      <c r="Z7" s="1148"/>
      <c r="AA7" s="1148"/>
      <c r="AB7" s="1148"/>
      <c r="AC7" s="1148"/>
      <c r="AD7" s="1148"/>
      <c r="AE7" s="1148"/>
      <c r="AF7" s="1148"/>
      <c r="AG7" s="1148"/>
      <c r="AH7" s="1148"/>
      <c r="AI7" s="1148"/>
      <c r="AJ7" s="1148"/>
      <c r="AK7" s="1148"/>
      <c r="AL7" s="1148"/>
      <c r="AM7" s="1148"/>
      <c r="AN7" s="1149"/>
      <c r="AO7" s="63"/>
      <c r="AP7" s="63"/>
      <c r="AQ7" s="63"/>
      <c r="AR7" s="63"/>
      <c r="AS7" s="63"/>
      <c r="AT7" s="63"/>
      <c r="AU7" s="63"/>
      <c r="AV7" s="63"/>
      <c r="AW7" s="63"/>
      <c r="AX7" s="63"/>
      <c r="AY7" s="63"/>
    </row>
    <row r="8" spans="1:51" ht="15.75" customHeight="1">
      <c r="A8" s="281"/>
      <c r="B8" s="425"/>
      <c r="C8" s="282"/>
      <c r="D8" s="1266" t="str">
        <f>Cover!AB23</f>
        <v>8 Software test report</v>
      </c>
      <c r="E8" s="1266"/>
      <c r="F8" s="1266"/>
      <c r="G8" s="1266"/>
      <c r="H8" s="1266"/>
      <c r="I8" s="1266"/>
      <c r="J8" s="1266"/>
      <c r="K8" s="1266"/>
      <c r="L8" s="1266"/>
      <c r="M8" s="1266"/>
      <c r="N8" s="1266"/>
      <c r="O8" s="1266"/>
      <c r="P8" s="1266"/>
      <c r="Q8" s="1267"/>
      <c r="R8" s="281"/>
      <c r="S8" s="425"/>
      <c r="T8" s="282"/>
      <c r="U8" s="1266" t="str">
        <f>Cover!BU23</f>
        <v>16 Tooling list</v>
      </c>
      <c r="V8" s="1266"/>
      <c r="W8" s="1266"/>
      <c r="X8" s="1266"/>
      <c r="Y8" s="1266"/>
      <c r="Z8" s="1266"/>
      <c r="AA8" s="1266"/>
      <c r="AB8" s="1266"/>
      <c r="AC8" s="1266"/>
      <c r="AD8" s="1266"/>
      <c r="AE8" s="1266"/>
      <c r="AF8" s="1266"/>
      <c r="AG8" s="1266"/>
      <c r="AH8" s="1266"/>
      <c r="AI8" s="1266"/>
      <c r="AJ8" s="1266"/>
      <c r="AK8" s="1266"/>
      <c r="AL8" s="1266"/>
      <c r="AM8" s="1266"/>
      <c r="AN8" s="1267"/>
      <c r="AO8" s="63"/>
      <c r="AP8" s="63"/>
      <c r="AQ8" s="63"/>
      <c r="AR8" s="63"/>
      <c r="AS8" s="63"/>
      <c r="AT8" s="63"/>
      <c r="AU8" s="63"/>
      <c r="AV8" s="63"/>
      <c r="AW8" s="63"/>
      <c r="AX8" s="63"/>
      <c r="AY8" s="63"/>
    </row>
    <row r="9" spans="1:51" ht="3" customHeight="1">
      <c r="A9" s="281"/>
      <c r="B9" s="282"/>
      <c r="C9" s="282"/>
      <c r="D9" s="463"/>
      <c r="E9" s="463"/>
      <c r="F9" s="463"/>
      <c r="G9" s="463"/>
      <c r="H9" s="463"/>
      <c r="I9" s="463"/>
      <c r="J9" s="463"/>
      <c r="K9" s="463"/>
      <c r="L9" s="463"/>
      <c r="M9" s="463"/>
      <c r="N9" s="463"/>
      <c r="O9" s="463"/>
      <c r="P9" s="463"/>
      <c r="Q9" s="464"/>
      <c r="R9" s="281"/>
      <c r="S9" s="282"/>
      <c r="T9" s="282"/>
      <c r="U9" s="463"/>
      <c r="V9" s="463"/>
      <c r="W9" s="463"/>
      <c r="X9" s="463"/>
      <c r="Y9" s="463"/>
      <c r="Z9" s="463"/>
      <c r="AA9" s="463"/>
      <c r="AB9" s="463"/>
      <c r="AC9" s="463"/>
      <c r="AD9" s="463"/>
      <c r="AE9" s="463"/>
      <c r="AF9" s="463"/>
      <c r="AG9" s="463"/>
      <c r="AH9" s="463"/>
      <c r="AI9" s="463"/>
      <c r="AJ9" s="463"/>
      <c r="AK9" s="463"/>
      <c r="AL9" s="463"/>
      <c r="AM9" s="463"/>
      <c r="AN9" s="464"/>
      <c r="AO9" s="63"/>
      <c r="AP9" s="63"/>
      <c r="AQ9" s="63"/>
      <c r="AR9" s="63"/>
      <c r="AS9" s="63"/>
      <c r="AT9" s="63"/>
      <c r="AU9" s="63"/>
      <c r="AV9" s="63"/>
      <c r="AW9" s="63"/>
      <c r="AX9" s="63"/>
      <c r="AY9" s="63"/>
    </row>
    <row r="10" spans="1:51" ht="3" customHeight="1">
      <c r="A10" s="281"/>
      <c r="B10" s="282"/>
      <c r="C10" s="282"/>
      <c r="D10" s="463"/>
      <c r="E10" s="463"/>
      <c r="F10" s="463"/>
      <c r="G10" s="463"/>
      <c r="H10" s="463"/>
      <c r="I10" s="463"/>
      <c r="J10" s="463"/>
      <c r="K10" s="463"/>
      <c r="L10" s="463"/>
      <c r="M10" s="463"/>
      <c r="N10" s="463"/>
      <c r="O10" s="463"/>
      <c r="P10" s="463"/>
      <c r="Q10" s="464"/>
      <c r="R10" s="281"/>
      <c r="S10" s="282"/>
      <c r="T10" s="282"/>
      <c r="U10" s="463"/>
      <c r="V10" s="463"/>
      <c r="W10" s="463"/>
      <c r="X10" s="463"/>
      <c r="Y10" s="463"/>
      <c r="Z10" s="463"/>
      <c r="AA10" s="463"/>
      <c r="AB10" s="463"/>
      <c r="AC10" s="463"/>
      <c r="AD10" s="463"/>
      <c r="AE10" s="463"/>
      <c r="AF10" s="463"/>
      <c r="AG10" s="463"/>
      <c r="AH10" s="463"/>
      <c r="AI10" s="463"/>
      <c r="AJ10" s="463"/>
      <c r="AK10" s="463"/>
      <c r="AL10" s="463"/>
      <c r="AM10" s="463"/>
      <c r="AN10" s="464"/>
      <c r="AO10" s="63"/>
      <c r="AP10" s="63"/>
      <c r="AQ10" s="63"/>
      <c r="AR10" s="63"/>
      <c r="AS10" s="63"/>
      <c r="AT10" s="63"/>
      <c r="AU10" s="63"/>
      <c r="AV10" s="63"/>
      <c r="AW10" s="63"/>
      <c r="AX10" s="63"/>
      <c r="AY10" s="63"/>
    </row>
    <row r="11" spans="1:51" ht="15.75" customHeight="1">
      <c r="A11" s="281"/>
      <c r="B11" s="425"/>
      <c r="C11" s="282"/>
      <c r="D11" s="1266" t="str">
        <f>Cover!AB25</f>
        <v>9 Process – FMEA</v>
      </c>
      <c r="E11" s="1266"/>
      <c r="F11" s="1266"/>
      <c r="G11" s="1266"/>
      <c r="H11" s="1266"/>
      <c r="I11" s="1266"/>
      <c r="J11" s="1266"/>
      <c r="K11" s="1266"/>
      <c r="L11" s="1266"/>
      <c r="M11" s="1266"/>
      <c r="N11" s="1266"/>
      <c r="O11" s="1266"/>
      <c r="P11" s="1266"/>
      <c r="Q11" s="1267"/>
      <c r="R11" s="281"/>
      <c r="S11" s="425"/>
      <c r="T11" s="282"/>
      <c r="U11" s="1266" t="str">
        <f>Cover!BU25</f>
        <v>17 Confirmation of agreed capacity</v>
      </c>
      <c r="V11" s="1266"/>
      <c r="W11" s="1266"/>
      <c r="X11" s="1266"/>
      <c r="Y11" s="1266"/>
      <c r="Z11" s="1266"/>
      <c r="AA11" s="1266"/>
      <c r="AB11" s="1266"/>
      <c r="AC11" s="1266"/>
      <c r="AD11" s="1266"/>
      <c r="AE11" s="1266"/>
      <c r="AF11" s="1266"/>
      <c r="AG11" s="1266"/>
      <c r="AH11" s="1266"/>
      <c r="AI11" s="1266"/>
      <c r="AJ11" s="1266"/>
      <c r="AK11" s="1266"/>
      <c r="AL11" s="1266"/>
      <c r="AM11" s="1266"/>
      <c r="AN11" s="1267"/>
      <c r="AO11" s="63"/>
      <c r="AP11" s="63"/>
      <c r="AQ11" s="63"/>
      <c r="AR11" s="63"/>
      <c r="AS11" s="63"/>
      <c r="AT11" s="63"/>
      <c r="AU11" s="63"/>
      <c r="AV11" s="63"/>
      <c r="AW11" s="63"/>
      <c r="AX11" s="63"/>
      <c r="AY11" s="63"/>
    </row>
    <row r="12" spans="1:51" ht="3" customHeight="1">
      <c r="A12" s="281"/>
      <c r="B12" s="282"/>
      <c r="C12" s="282"/>
      <c r="D12" s="463"/>
      <c r="E12" s="463"/>
      <c r="F12" s="463"/>
      <c r="G12" s="463"/>
      <c r="H12" s="463"/>
      <c r="I12" s="463"/>
      <c r="J12" s="463"/>
      <c r="K12" s="463"/>
      <c r="L12" s="463"/>
      <c r="M12" s="463"/>
      <c r="N12" s="463"/>
      <c r="O12" s="463"/>
      <c r="P12" s="463"/>
      <c r="Q12" s="464"/>
      <c r="R12" s="281"/>
      <c r="S12" s="282"/>
      <c r="T12" s="282"/>
      <c r="U12" s="463"/>
      <c r="V12" s="463"/>
      <c r="W12" s="463"/>
      <c r="X12" s="463"/>
      <c r="Y12" s="463"/>
      <c r="Z12" s="463"/>
      <c r="AA12" s="463"/>
      <c r="AB12" s="463"/>
      <c r="AC12" s="463"/>
      <c r="AD12" s="463"/>
      <c r="AE12" s="463"/>
      <c r="AF12" s="463"/>
      <c r="AG12" s="463"/>
      <c r="AH12" s="463"/>
      <c r="AI12" s="463"/>
      <c r="AJ12" s="463"/>
      <c r="AK12" s="463"/>
      <c r="AL12" s="463"/>
      <c r="AM12" s="463"/>
      <c r="AN12" s="464"/>
      <c r="AO12" s="63"/>
      <c r="AP12" s="63"/>
      <c r="AQ12" s="63"/>
      <c r="AR12" s="63"/>
      <c r="AS12" s="63"/>
      <c r="AT12" s="63"/>
      <c r="AU12" s="63"/>
      <c r="AV12" s="63"/>
      <c r="AW12" s="63"/>
      <c r="AX12" s="63"/>
      <c r="AY12" s="63"/>
    </row>
    <row r="13" spans="1:51" ht="3" customHeight="1">
      <c r="A13" s="281"/>
      <c r="B13" s="282"/>
      <c r="C13" s="282"/>
      <c r="D13" s="463"/>
      <c r="E13" s="463"/>
      <c r="F13" s="463"/>
      <c r="G13" s="463"/>
      <c r="H13" s="463"/>
      <c r="I13" s="463"/>
      <c r="J13" s="463"/>
      <c r="K13" s="463"/>
      <c r="L13" s="463"/>
      <c r="M13" s="463"/>
      <c r="N13" s="463"/>
      <c r="O13" s="463"/>
      <c r="P13" s="463"/>
      <c r="Q13" s="464"/>
      <c r="R13" s="281"/>
      <c r="S13" s="282"/>
      <c r="T13" s="282"/>
      <c r="U13" s="463"/>
      <c r="V13" s="463"/>
      <c r="W13" s="463"/>
      <c r="X13" s="463"/>
      <c r="Y13" s="463"/>
      <c r="Z13" s="463"/>
      <c r="AA13" s="463"/>
      <c r="AB13" s="463"/>
      <c r="AC13" s="463"/>
      <c r="AD13" s="463"/>
      <c r="AE13" s="463"/>
      <c r="AF13" s="463"/>
      <c r="AG13" s="463"/>
      <c r="AH13" s="463"/>
      <c r="AI13" s="463"/>
      <c r="AJ13" s="463"/>
      <c r="AK13" s="463"/>
      <c r="AL13" s="463"/>
      <c r="AM13" s="463"/>
      <c r="AN13" s="464"/>
      <c r="AO13" s="63"/>
      <c r="AP13" s="63"/>
      <c r="AQ13" s="63"/>
      <c r="AR13" s="63"/>
      <c r="AS13" s="63"/>
      <c r="AT13" s="63"/>
      <c r="AU13" s="63"/>
      <c r="AV13" s="63"/>
      <c r="AW13" s="63"/>
      <c r="AX13" s="63"/>
      <c r="AY13" s="63"/>
    </row>
    <row r="14" spans="1:51" ht="15.75" customHeight="1">
      <c r="A14" s="281"/>
      <c r="B14" s="425"/>
      <c r="C14" s="282"/>
      <c r="D14" s="1266" t="str">
        <f>Cover!AB27</f>
        <v>10 Process flow chart</v>
      </c>
      <c r="E14" s="1266"/>
      <c r="F14" s="1266"/>
      <c r="G14" s="1266"/>
      <c r="H14" s="1266"/>
      <c r="I14" s="1266"/>
      <c r="J14" s="1266"/>
      <c r="K14" s="1266"/>
      <c r="L14" s="1266"/>
      <c r="M14" s="1266"/>
      <c r="N14" s="1266"/>
      <c r="O14" s="1266"/>
      <c r="P14" s="1266"/>
      <c r="Q14" s="1267"/>
      <c r="R14" s="281"/>
      <c r="S14" s="425"/>
      <c r="T14" s="282"/>
      <c r="U14" s="1266" t="str">
        <f>Cover!BU27</f>
        <v>18 Written self-assessment</v>
      </c>
      <c r="V14" s="1266"/>
      <c r="W14" s="1266"/>
      <c r="X14" s="1266"/>
      <c r="Y14" s="1266"/>
      <c r="Z14" s="1266"/>
      <c r="AA14" s="1266"/>
      <c r="AB14" s="1266"/>
      <c r="AC14" s="1266"/>
      <c r="AD14" s="1266"/>
      <c r="AE14" s="1266"/>
      <c r="AF14" s="1266"/>
      <c r="AG14" s="1266"/>
      <c r="AH14" s="1266"/>
      <c r="AI14" s="1266"/>
      <c r="AJ14" s="1266"/>
      <c r="AK14" s="1266"/>
      <c r="AL14" s="1266"/>
      <c r="AM14" s="1266"/>
      <c r="AN14" s="1267"/>
      <c r="AO14" s="63"/>
      <c r="AP14" s="63"/>
      <c r="AQ14" s="63"/>
      <c r="AR14" s="63"/>
      <c r="AS14" s="63"/>
      <c r="AT14" s="63"/>
      <c r="AU14" s="63"/>
      <c r="AV14" s="63"/>
      <c r="AW14" s="63"/>
      <c r="AX14" s="63"/>
      <c r="AY14" s="63"/>
    </row>
    <row r="15" spans="1:51" ht="3" customHeight="1">
      <c r="A15" s="281"/>
      <c r="B15" s="282"/>
      <c r="C15" s="282"/>
      <c r="D15" s="463"/>
      <c r="E15" s="463"/>
      <c r="F15" s="463"/>
      <c r="G15" s="463"/>
      <c r="H15" s="463"/>
      <c r="I15" s="463"/>
      <c r="J15" s="463"/>
      <c r="K15" s="463"/>
      <c r="L15" s="463"/>
      <c r="M15" s="463"/>
      <c r="N15" s="463"/>
      <c r="O15" s="463"/>
      <c r="P15" s="463"/>
      <c r="Q15" s="464"/>
      <c r="R15" s="281"/>
      <c r="S15" s="282"/>
      <c r="T15" s="282"/>
      <c r="U15" s="463"/>
      <c r="V15" s="463"/>
      <c r="W15" s="463"/>
      <c r="X15" s="463"/>
      <c r="Y15" s="463"/>
      <c r="Z15" s="463"/>
      <c r="AA15" s="463"/>
      <c r="AB15" s="463"/>
      <c r="AC15" s="463"/>
      <c r="AD15" s="463"/>
      <c r="AE15" s="463"/>
      <c r="AF15" s="463"/>
      <c r="AG15" s="463"/>
      <c r="AH15" s="463"/>
      <c r="AI15" s="463"/>
      <c r="AJ15" s="463"/>
      <c r="AK15" s="463"/>
      <c r="AL15" s="463"/>
      <c r="AM15" s="463"/>
      <c r="AN15" s="464"/>
      <c r="AO15" s="63"/>
      <c r="AP15" s="63"/>
      <c r="AQ15" s="63"/>
      <c r="AR15" s="63"/>
      <c r="AS15" s="63"/>
      <c r="AT15" s="63"/>
      <c r="AU15" s="63"/>
      <c r="AV15" s="63"/>
      <c r="AW15" s="63"/>
      <c r="AX15" s="63"/>
      <c r="AY15" s="63"/>
    </row>
    <row r="16" spans="1:51" ht="3" customHeight="1">
      <c r="A16" s="281"/>
      <c r="B16" s="282"/>
      <c r="C16" s="282"/>
      <c r="D16" s="463"/>
      <c r="E16" s="463"/>
      <c r="F16" s="463"/>
      <c r="G16" s="463"/>
      <c r="H16" s="463"/>
      <c r="I16" s="463"/>
      <c r="J16" s="463"/>
      <c r="K16" s="463"/>
      <c r="L16" s="463"/>
      <c r="M16" s="463"/>
      <c r="N16" s="463"/>
      <c r="O16" s="463"/>
      <c r="P16" s="463"/>
      <c r="Q16" s="464"/>
      <c r="R16" s="281"/>
      <c r="S16" s="282"/>
      <c r="T16" s="282"/>
      <c r="U16" s="463"/>
      <c r="V16" s="463"/>
      <c r="W16" s="463"/>
      <c r="X16" s="463"/>
      <c r="Y16" s="463"/>
      <c r="Z16" s="463"/>
      <c r="AA16" s="463"/>
      <c r="AB16" s="463"/>
      <c r="AC16" s="463"/>
      <c r="AD16" s="463"/>
      <c r="AE16" s="463"/>
      <c r="AF16" s="463"/>
      <c r="AG16" s="463"/>
      <c r="AH16" s="463"/>
      <c r="AI16" s="463"/>
      <c r="AJ16" s="463"/>
      <c r="AK16" s="463"/>
      <c r="AL16" s="463"/>
      <c r="AM16" s="463"/>
      <c r="AN16" s="464"/>
      <c r="AO16" s="63"/>
      <c r="AP16" s="63"/>
      <c r="AQ16" s="63"/>
      <c r="AR16" s="63"/>
      <c r="AS16" s="63"/>
      <c r="AT16" s="63"/>
      <c r="AU16" s="63"/>
      <c r="AV16" s="63"/>
      <c r="AW16" s="63"/>
      <c r="AX16" s="63"/>
      <c r="AY16" s="63"/>
    </row>
    <row r="17" spans="1:51" ht="15.75" customHeight="1">
      <c r="A17" s="281"/>
      <c r="B17" s="425"/>
      <c r="C17" s="282"/>
      <c r="D17" s="1266" t="str">
        <f>Cover!AB29</f>
        <v>11 Control plan</v>
      </c>
      <c r="E17" s="1266"/>
      <c r="F17" s="1266"/>
      <c r="G17" s="1266"/>
      <c r="H17" s="1266"/>
      <c r="I17" s="1266"/>
      <c r="J17" s="1266"/>
      <c r="K17" s="1266"/>
      <c r="L17" s="1266"/>
      <c r="M17" s="1266"/>
      <c r="N17" s="1266"/>
      <c r="O17" s="1266"/>
      <c r="P17" s="1266"/>
      <c r="Q17" s="1267"/>
      <c r="R17" s="281"/>
      <c r="S17" s="425"/>
      <c r="T17" s="282"/>
      <c r="U17" s="1266" t="str">
        <f>Cover!BU29</f>
        <v>19 Part history</v>
      </c>
      <c r="V17" s="1266"/>
      <c r="W17" s="1266"/>
      <c r="X17" s="1266"/>
      <c r="Y17" s="1266"/>
      <c r="Z17" s="1266"/>
      <c r="AA17" s="1266"/>
      <c r="AB17" s="1266"/>
      <c r="AC17" s="1266"/>
      <c r="AD17" s="1266"/>
      <c r="AE17" s="1266"/>
      <c r="AF17" s="1266"/>
      <c r="AG17" s="1266"/>
      <c r="AH17" s="1266"/>
      <c r="AI17" s="1266"/>
      <c r="AJ17" s="1266"/>
      <c r="AK17" s="1266"/>
      <c r="AL17" s="1266"/>
      <c r="AM17" s="1266"/>
      <c r="AN17" s="1267"/>
      <c r="AO17" s="63"/>
      <c r="AP17" s="63"/>
      <c r="AQ17" s="63"/>
      <c r="AR17" s="63"/>
      <c r="AS17" s="63"/>
      <c r="AT17" s="63"/>
      <c r="AU17" s="63"/>
      <c r="AV17" s="63"/>
      <c r="AW17" s="63"/>
      <c r="AX17" s="63"/>
      <c r="AY17" s="63"/>
    </row>
    <row r="18" spans="1:51" ht="3" customHeight="1">
      <c r="A18" s="281"/>
      <c r="B18" s="282"/>
      <c r="C18" s="282"/>
      <c r="D18" s="463"/>
      <c r="E18" s="463"/>
      <c r="F18" s="463"/>
      <c r="G18" s="463"/>
      <c r="H18" s="463"/>
      <c r="I18" s="463"/>
      <c r="J18" s="463"/>
      <c r="K18" s="463"/>
      <c r="L18" s="463"/>
      <c r="M18" s="463"/>
      <c r="N18" s="463"/>
      <c r="O18" s="463"/>
      <c r="P18" s="463"/>
      <c r="Q18" s="464"/>
      <c r="R18" s="281"/>
      <c r="S18" s="282"/>
      <c r="T18" s="282"/>
      <c r="U18" s="463"/>
      <c r="V18" s="463"/>
      <c r="W18" s="463"/>
      <c r="X18" s="463"/>
      <c r="Y18" s="463"/>
      <c r="Z18" s="463"/>
      <c r="AA18" s="463"/>
      <c r="AB18" s="463"/>
      <c r="AC18" s="463"/>
      <c r="AD18" s="463"/>
      <c r="AE18" s="463"/>
      <c r="AF18" s="463"/>
      <c r="AG18" s="463"/>
      <c r="AH18" s="463"/>
      <c r="AI18" s="463"/>
      <c r="AJ18" s="463"/>
      <c r="AK18" s="463"/>
      <c r="AL18" s="463"/>
      <c r="AM18" s="463"/>
      <c r="AN18" s="464"/>
      <c r="AO18" s="63"/>
      <c r="AP18" s="63"/>
      <c r="AQ18" s="63"/>
      <c r="AR18" s="63"/>
      <c r="AS18" s="63"/>
      <c r="AT18" s="63"/>
      <c r="AU18" s="63"/>
      <c r="AV18" s="63"/>
      <c r="AW18" s="63"/>
      <c r="AX18" s="63"/>
      <c r="AY18" s="63"/>
    </row>
    <row r="19" spans="1:51" ht="3" customHeight="1">
      <c r="A19" s="281"/>
      <c r="B19" s="282"/>
      <c r="C19" s="282"/>
      <c r="D19" s="463"/>
      <c r="E19" s="463"/>
      <c r="F19" s="463"/>
      <c r="G19" s="463"/>
      <c r="H19" s="463"/>
      <c r="I19" s="463"/>
      <c r="J19" s="463"/>
      <c r="K19" s="463"/>
      <c r="L19" s="463"/>
      <c r="M19" s="463"/>
      <c r="N19" s="463"/>
      <c r="O19" s="463"/>
      <c r="P19" s="463"/>
      <c r="Q19" s="464"/>
      <c r="R19" s="281"/>
      <c r="S19" s="282"/>
      <c r="T19" s="282"/>
      <c r="U19" s="463"/>
      <c r="V19" s="463"/>
      <c r="W19" s="463"/>
      <c r="X19" s="463"/>
      <c r="Y19" s="463"/>
      <c r="Z19" s="463"/>
      <c r="AA19" s="463"/>
      <c r="AB19" s="463"/>
      <c r="AC19" s="463"/>
      <c r="AD19" s="463"/>
      <c r="AE19" s="463"/>
      <c r="AF19" s="463"/>
      <c r="AG19" s="463"/>
      <c r="AH19" s="463"/>
      <c r="AI19" s="463"/>
      <c r="AJ19" s="463"/>
      <c r="AK19" s="463"/>
      <c r="AL19" s="463"/>
      <c r="AM19" s="463"/>
      <c r="AN19" s="464"/>
      <c r="AO19" s="63"/>
      <c r="AP19" s="63"/>
      <c r="AQ19" s="63"/>
      <c r="AR19" s="63"/>
      <c r="AS19" s="63"/>
      <c r="AT19" s="63"/>
      <c r="AU19" s="63"/>
      <c r="AV19" s="63"/>
      <c r="AW19" s="63"/>
      <c r="AX19" s="63"/>
      <c r="AY19" s="63"/>
    </row>
    <row r="20" spans="1:51" ht="15.75" customHeight="1">
      <c r="A20" s="281"/>
      <c r="B20" s="425"/>
      <c r="C20" s="282"/>
      <c r="D20" s="1266" t="str">
        <f>Cover!AB31</f>
        <v>12 Confirmation of process capability</v>
      </c>
      <c r="E20" s="1266"/>
      <c r="F20" s="1266"/>
      <c r="G20" s="1266"/>
      <c r="H20" s="1266"/>
      <c r="I20" s="1266"/>
      <c r="J20" s="1266"/>
      <c r="K20" s="1266"/>
      <c r="L20" s="1266"/>
      <c r="M20" s="1266"/>
      <c r="N20" s="1266"/>
      <c r="O20" s="1266"/>
      <c r="P20" s="1266"/>
      <c r="Q20" s="1267"/>
      <c r="R20" s="281"/>
      <c r="S20" s="497" t="s">
        <v>653</v>
      </c>
      <c r="T20" s="282"/>
      <c r="U20" s="1266" t="str">
        <f>Cover!BU31</f>
        <v>20 Confirmation of suitability of transport equipment</v>
      </c>
      <c r="V20" s="1266"/>
      <c r="W20" s="1266"/>
      <c r="X20" s="1266"/>
      <c r="Y20" s="1266"/>
      <c r="Z20" s="1266"/>
      <c r="AA20" s="1266"/>
      <c r="AB20" s="1266"/>
      <c r="AC20" s="1266"/>
      <c r="AD20" s="1266"/>
      <c r="AE20" s="1266"/>
      <c r="AF20" s="1266"/>
      <c r="AG20" s="1266"/>
      <c r="AH20" s="1266"/>
      <c r="AI20" s="1266"/>
      <c r="AJ20" s="1266"/>
      <c r="AK20" s="1266"/>
      <c r="AL20" s="1266"/>
      <c r="AM20" s="1266"/>
      <c r="AN20" s="1267"/>
      <c r="AO20" s="63"/>
      <c r="AP20" s="63"/>
      <c r="AQ20" s="63"/>
      <c r="AR20" s="63"/>
      <c r="AS20" s="63"/>
      <c r="AT20" s="63"/>
      <c r="AU20" s="63"/>
      <c r="AV20" s="63"/>
      <c r="AW20" s="63"/>
      <c r="AX20" s="63"/>
      <c r="AY20" s="63"/>
    </row>
    <row r="21" spans="1:51" ht="3" customHeight="1">
      <c r="A21" s="281"/>
      <c r="B21" s="282"/>
      <c r="C21" s="282"/>
      <c r="D21" s="463"/>
      <c r="E21" s="463"/>
      <c r="F21" s="463"/>
      <c r="G21" s="463"/>
      <c r="H21" s="463"/>
      <c r="I21" s="463"/>
      <c r="J21" s="463"/>
      <c r="K21" s="463"/>
      <c r="L21" s="463"/>
      <c r="M21" s="463"/>
      <c r="N21" s="463"/>
      <c r="O21" s="463"/>
      <c r="P21" s="463"/>
      <c r="Q21" s="464"/>
      <c r="R21" s="281"/>
      <c r="S21" s="282"/>
      <c r="T21" s="282"/>
      <c r="U21" s="463"/>
      <c r="V21" s="463"/>
      <c r="W21" s="463"/>
      <c r="X21" s="463"/>
      <c r="Y21" s="463"/>
      <c r="Z21" s="463"/>
      <c r="AA21" s="463"/>
      <c r="AB21" s="463"/>
      <c r="AC21" s="463"/>
      <c r="AD21" s="463"/>
      <c r="AE21" s="463"/>
      <c r="AF21" s="463"/>
      <c r="AG21" s="463"/>
      <c r="AH21" s="463"/>
      <c r="AI21" s="463"/>
      <c r="AJ21" s="463"/>
      <c r="AK21" s="463"/>
      <c r="AL21" s="463"/>
      <c r="AM21" s="463"/>
      <c r="AN21" s="464"/>
      <c r="AO21" s="63"/>
      <c r="AP21" s="63"/>
      <c r="AQ21" s="63"/>
      <c r="AR21" s="63"/>
      <c r="AS21" s="63"/>
      <c r="AT21" s="63"/>
      <c r="AU21" s="63"/>
      <c r="AV21" s="63"/>
      <c r="AW21" s="63"/>
      <c r="AX21" s="63"/>
      <c r="AY21" s="63"/>
    </row>
    <row r="22" spans="1:51" ht="3" customHeight="1">
      <c r="A22" s="281"/>
      <c r="B22" s="282"/>
      <c r="C22" s="282"/>
      <c r="D22" s="463"/>
      <c r="E22" s="463"/>
      <c r="F22" s="463"/>
      <c r="G22" s="463"/>
      <c r="H22" s="463"/>
      <c r="I22" s="463"/>
      <c r="J22" s="463"/>
      <c r="K22" s="463"/>
      <c r="L22" s="463"/>
      <c r="M22" s="463"/>
      <c r="N22" s="463"/>
      <c r="O22" s="463"/>
      <c r="P22" s="463"/>
      <c r="Q22" s="464"/>
      <c r="R22" s="281"/>
      <c r="S22" s="282"/>
      <c r="T22" s="282"/>
      <c r="U22" s="463"/>
      <c r="V22" s="463"/>
      <c r="W22" s="463"/>
      <c r="X22" s="463"/>
      <c r="Y22" s="463"/>
      <c r="Z22" s="463"/>
      <c r="AA22" s="463"/>
      <c r="AB22" s="463"/>
      <c r="AC22" s="463"/>
      <c r="AD22" s="463"/>
      <c r="AE22" s="463"/>
      <c r="AF22" s="463"/>
      <c r="AG22" s="463"/>
      <c r="AH22" s="463"/>
      <c r="AI22" s="463"/>
      <c r="AJ22" s="463"/>
      <c r="AK22" s="463"/>
      <c r="AL22" s="463"/>
      <c r="AM22" s="463"/>
      <c r="AN22" s="464"/>
      <c r="AO22" s="63"/>
      <c r="AP22" s="63"/>
      <c r="AQ22" s="63"/>
      <c r="AR22" s="63"/>
      <c r="AS22" s="63"/>
      <c r="AT22" s="63"/>
      <c r="AU22" s="63"/>
      <c r="AV22" s="63"/>
      <c r="AW22" s="63"/>
      <c r="AX22" s="63"/>
      <c r="AY22" s="63"/>
    </row>
    <row r="23" spans="1:51" ht="15.75" customHeight="1">
      <c r="A23" s="281"/>
      <c r="B23" s="425"/>
      <c r="C23" s="282"/>
      <c r="D23" s="1266" t="str">
        <f>Cover!AB33</f>
        <v>13 Achievement of special characteristics</v>
      </c>
      <c r="E23" s="1266"/>
      <c r="F23" s="1266"/>
      <c r="G23" s="1266"/>
      <c r="H23" s="1266"/>
      <c r="I23" s="1266"/>
      <c r="J23" s="1266"/>
      <c r="K23" s="1266"/>
      <c r="L23" s="1266"/>
      <c r="M23" s="1266"/>
      <c r="N23" s="1266"/>
      <c r="O23" s="1266"/>
      <c r="P23" s="1266"/>
      <c r="Q23" s="1267"/>
      <c r="R23" s="281"/>
      <c r="S23" s="425"/>
      <c r="T23" s="282"/>
      <c r="U23" s="1266" t="str">
        <f>Cover!BU33</f>
        <v>21 PPA-Status of the supply chain</v>
      </c>
      <c r="V23" s="1266"/>
      <c r="W23" s="1266"/>
      <c r="X23" s="1266"/>
      <c r="Y23" s="1266"/>
      <c r="Z23" s="1266"/>
      <c r="AA23" s="1266"/>
      <c r="AB23" s="1266"/>
      <c r="AC23" s="1266"/>
      <c r="AD23" s="1266"/>
      <c r="AE23" s="1266"/>
      <c r="AF23" s="1266"/>
      <c r="AG23" s="1266"/>
      <c r="AH23" s="1266"/>
      <c r="AI23" s="1266"/>
      <c r="AJ23" s="1266"/>
      <c r="AK23" s="1266"/>
      <c r="AL23" s="1266"/>
      <c r="AM23" s="1266"/>
      <c r="AN23" s="1267"/>
      <c r="AO23" s="63"/>
      <c r="AP23" s="63"/>
      <c r="AQ23" s="63"/>
      <c r="AR23" s="63"/>
      <c r="AS23" s="63"/>
      <c r="AT23" s="63"/>
      <c r="AU23" s="63"/>
      <c r="AV23" s="63"/>
      <c r="AW23" s="63"/>
      <c r="AX23" s="63"/>
      <c r="AY23" s="63"/>
    </row>
    <row r="24" spans="1:51" ht="3" customHeight="1">
      <c r="A24" s="281"/>
      <c r="B24" s="282"/>
      <c r="C24" s="282"/>
      <c r="D24" s="463"/>
      <c r="E24" s="463"/>
      <c r="F24" s="463"/>
      <c r="G24" s="463"/>
      <c r="H24" s="463"/>
      <c r="I24" s="463"/>
      <c r="J24" s="463"/>
      <c r="K24" s="463"/>
      <c r="L24" s="463"/>
      <c r="M24" s="463"/>
      <c r="N24" s="463"/>
      <c r="O24" s="463"/>
      <c r="P24" s="463"/>
      <c r="Q24" s="464"/>
      <c r="R24" s="281"/>
      <c r="S24" s="282"/>
      <c r="T24" s="282"/>
      <c r="U24" s="463"/>
      <c r="V24" s="463"/>
      <c r="W24" s="463"/>
      <c r="X24" s="463"/>
      <c r="Y24" s="463"/>
      <c r="Z24" s="463"/>
      <c r="AA24" s="463"/>
      <c r="AB24" s="463"/>
      <c r="AC24" s="463"/>
      <c r="AD24" s="463"/>
      <c r="AE24" s="463"/>
      <c r="AF24" s="463"/>
      <c r="AG24" s="463"/>
      <c r="AH24" s="463"/>
      <c r="AI24" s="463"/>
      <c r="AJ24" s="463"/>
      <c r="AK24" s="463"/>
      <c r="AL24" s="463"/>
      <c r="AM24" s="463"/>
      <c r="AN24" s="464"/>
      <c r="AO24" s="63"/>
      <c r="AP24" s="63"/>
      <c r="AQ24" s="63"/>
      <c r="AR24" s="63"/>
      <c r="AS24" s="63"/>
      <c r="AT24" s="63"/>
      <c r="AU24" s="63"/>
      <c r="AV24" s="63"/>
      <c r="AW24" s="63"/>
      <c r="AX24" s="63"/>
      <c r="AY24" s="63"/>
    </row>
    <row r="25" spans="1:51" ht="3" customHeight="1">
      <c r="A25" s="281"/>
      <c r="B25" s="282"/>
      <c r="C25" s="282"/>
      <c r="D25" s="463"/>
      <c r="E25" s="463"/>
      <c r="F25" s="463"/>
      <c r="G25" s="463"/>
      <c r="H25" s="463"/>
      <c r="I25" s="463"/>
      <c r="J25" s="463"/>
      <c r="K25" s="463"/>
      <c r="L25" s="463"/>
      <c r="M25" s="463"/>
      <c r="N25" s="463"/>
      <c r="O25" s="463"/>
      <c r="P25" s="463"/>
      <c r="Q25" s="464"/>
      <c r="R25" s="281"/>
      <c r="S25" s="282"/>
      <c r="T25" s="282"/>
      <c r="U25" s="463"/>
      <c r="V25" s="463"/>
      <c r="W25" s="463"/>
      <c r="X25" s="463"/>
      <c r="Y25" s="463"/>
      <c r="Z25" s="463"/>
      <c r="AA25" s="463"/>
      <c r="AB25" s="463"/>
      <c r="AC25" s="463"/>
      <c r="AD25" s="463"/>
      <c r="AE25" s="463"/>
      <c r="AF25" s="463"/>
      <c r="AG25" s="463"/>
      <c r="AH25" s="463"/>
      <c r="AI25" s="463"/>
      <c r="AJ25" s="463"/>
      <c r="AK25" s="463"/>
      <c r="AL25" s="463"/>
      <c r="AM25" s="463"/>
      <c r="AN25" s="464"/>
      <c r="AO25" s="63"/>
      <c r="AP25" s="63"/>
      <c r="AQ25" s="63"/>
      <c r="AR25" s="63"/>
      <c r="AS25" s="63"/>
      <c r="AT25" s="63"/>
      <c r="AU25" s="63"/>
      <c r="AV25" s="63"/>
      <c r="AW25" s="63"/>
      <c r="AX25" s="63"/>
      <c r="AY25" s="63"/>
    </row>
    <row r="26" spans="1:51" ht="15.75" customHeight="1">
      <c r="A26" s="281"/>
      <c r="B26" s="425"/>
      <c r="C26" s="282"/>
      <c r="D26" s="1266" t="str">
        <f>Cover!AB35</f>
        <v>14 Test / Inspection equipment list</v>
      </c>
      <c r="E26" s="1266"/>
      <c r="F26" s="1266"/>
      <c r="G26" s="1266"/>
      <c r="H26" s="1266"/>
      <c r="I26" s="1266"/>
      <c r="J26" s="1266"/>
      <c r="K26" s="1266"/>
      <c r="L26" s="1266"/>
      <c r="M26" s="1266"/>
      <c r="N26" s="1266"/>
      <c r="O26" s="1266"/>
      <c r="P26" s="1266"/>
      <c r="Q26" s="1267"/>
      <c r="R26" s="281"/>
      <c r="S26" s="425"/>
      <c r="T26" s="282"/>
      <c r="U26" s="1266" t="str">
        <f>Cover!BU35</f>
        <v xml:space="preserve">22 Approval of coating systems </v>
      </c>
      <c r="V26" s="1266"/>
      <c r="W26" s="1266"/>
      <c r="X26" s="1266"/>
      <c r="Y26" s="1266"/>
      <c r="Z26" s="1266"/>
      <c r="AA26" s="1266"/>
      <c r="AB26" s="1266"/>
      <c r="AC26" s="1266"/>
      <c r="AD26" s="1266"/>
      <c r="AE26" s="1266"/>
      <c r="AF26" s="1266"/>
      <c r="AG26" s="1266"/>
      <c r="AH26" s="1266"/>
      <c r="AI26" s="1266"/>
      <c r="AJ26" s="1266"/>
      <c r="AK26" s="1266"/>
      <c r="AL26" s="1266"/>
      <c r="AM26" s="1266"/>
      <c r="AN26" s="1267"/>
      <c r="AO26" s="63"/>
      <c r="AP26" s="63"/>
      <c r="AQ26" s="63"/>
      <c r="AR26" s="63"/>
      <c r="AS26" s="63"/>
      <c r="AT26" s="63"/>
      <c r="AU26" s="63"/>
      <c r="AV26" s="63"/>
      <c r="AW26" s="63"/>
      <c r="AX26" s="63"/>
      <c r="AY26" s="63"/>
    </row>
    <row r="27" spans="1:51" ht="3" customHeight="1">
      <c r="A27" s="281"/>
      <c r="B27" s="282"/>
      <c r="C27" s="282"/>
      <c r="D27" s="463"/>
      <c r="E27" s="463"/>
      <c r="F27" s="463"/>
      <c r="G27" s="463"/>
      <c r="H27" s="463"/>
      <c r="I27" s="463"/>
      <c r="J27" s="463"/>
      <c r="K27" s="463"/>
      <c r="L27" s="463"/>
      <c r="M27" s="463"/>
      <c r="N27" s="463"/>
      <c r="O27" s="463"/>
      <c r="P27" s="463"/>
      <c r="Q27" s="464"/>
      <c r="R27" s="281"/>
      <c r="S27" s="282"/>
      <c r="T27" s="282"/>
      <c r="U27" s="463"/>
      <c r="V27" s="463"/>
      <c r="W27" s="463"/>
      <c r="X27" s="463"/>
      <c r="Y27" s="463"/>
      <c r="Z27" s="463"/>
      <c r="AA27" s="463"/>
      <c r="AB27" s="463"/>
      <c r="AC27" s="463"/>
      <c r="AD27" s="463"/>
      <c r="AE27" s="463"/>
      <c r="AF27" s="463"/>
      <c r="AG27" s="463"/>
      <c r="AH27" s="463"/>
      <c r="AI27" s="463"/>
      <c r="AJ27" s="463"/>
      <c r="AK27" s="463"/>
      <c r="AL27" s="463"/>
      <c r="AM27" s="463"/>
      <c r="AN27" s="464"/>
      <c r="AO27" s="63"/>
      <c r="AP27" s="63"/>
      <c r="AQ27" s="63"/>
      <c r="AR27" s="63"/>
      <c r="AS27" s="63"/>
      <c r="AT27" s="63"/>
      <c r="AU27" s="63"/>
      <c r="AV27" s="63"/>
      <c r="AW27" s="63"/>
      <c r="AX27" s="63"/>
      <c r="AY27" s="63"/>
    </row>
    <row r="28" spans="1:51" ht="3" customHeight="1">
      <c r="A28" s="281"/>
      <c r="B28" s="282"/>
      <c r="C28" s="282"/>
      <c r="D28" s="463"/>
      <c r="E28" s="463"/>
      <c r="F28" s="463"/>
      <c r="G28" s="463"/>
      <c r="H28" s="463"/>
      <c r="I28" s="463"/>
      <c r="J28" s="463"/>
      <c r="K28" s="463"/>
      <c r="L28" s="463"/>
      <c r="M28" s="463"/>
      <c r="N28" s="463"/>
      <c r="O28" s="463"/>
      <c r="P28" s="463"/>
      <c r="Q28" s="464"/>
      <c r="R28" s="281"/>
      <c r="S28" s="282"/>
      <c r="T28" s="282"/>
      <c r="U28" s="463"/>
      <c r="V28" s="463"/>
      <c r="W28" s="463"/>
      <c r="X28" s="463"/>
      <c r="Y28" s="463"/>
      <c r="Z28" s="463"/>
      <c r="AA28" s="463"/>
      <c r="AB28" s="463"/>
      <c r="AC28" s="463"/>
      <c r="AD28" s="463"/>
      <c r="AE28" s="463"/>
      <c r="AF28" s="463"/>
      <c r="AG28" s="463"/>
      <c r="AH28" s="463"/>
      <c r="AI28" s="463"/>
      <c r="AJ28" s="463"/>
      <c r="AK28" s="463"/>
      <c r="AL28" s="463"/>
      <c r="AM28" s="463"/>
      <c r="AN28" s="464"/>
      <c r="AO28" s="63"/>
      <c r="AP28" s="63"/>
      <c r="AQ28" s="63"/>
      <c r="AR28" s="63"/>
      <c r="AS28" s="63"/>
      <c r="AT28" s="63"/>
      <c r="AU28" s="63"/>
      <c r="AV28" s="63"/>
      <c r="AW28" s="63"/>
      <c r="AX28" s="63"/>
      <c r="AY28" s="63"/>
    </row>
    <row r="29" spans="1:51" ht="15.75" customHeight="1">
      <c r="A29" s="281"/>
      <c r="B29" s="425"/>
      <c r="C29" s="282"/>
      <c r="D29" s="1266" t="str">
        <f>Cover!AB37</f>
        <v>15 Capability study testing equipment</v>
      </c>
      <c r="E29" s="1266"/>
      <c r="F29" s="1266"/>
      <c r="G29" s="1266"/>
      <c r="H29" s="1266"/>
      <c r="I29" s="1266"/>
      <c r="J29" s="1266"/>
      <c r="K29" s="1266"/>
      <c r="L29" s="1266"/>
      <c r="M29" s="1266"/>
      <c r="N29" s="1266"/>
      <c r="O29" s="1266"/>
      <c r="P29" s="1266"/>
      <c r="Q29" s="1267"/>
      <c r="R29" s="281"/>
      <c r="S29" s="425"/>
      <c r="T29" s="282"/>
      <c r="U29" s="619">
        <v>23</v>
      </c>
      <c r="V29" s="1831" t="str">
        <f>Cover!BX37</f>
        <v>Other</v>
      </c>
      <c r="W29" s="1831"/>
      <c r="X29" s="1831"/>
      <c r="Y29" s="1831"/>
      <c r="Z29" s="1831"/>
      <c r="AA29" s="1831"/>
      <c r="AB29" s="1831"/>
      <c r="AC29" s="1831"/>
      <c r="AD29" s="1831"/>
      <c r="AE29" s="1831"/>
      <c r="AF29" s="1831"/>
      <c r="AG29" s="1831"/>
      <c r="AH29" s="1831"/>
      <c r="AI29" s="1831"/>
      <c r="AJ29" s="1831"/>
      <c r="AK29" s="1831"/>
      <c r="AL29" s="1831"/>
      <c r="AM29" s="1831"/>
      <c r="AN29" s="1832"/>
      <c r="AO29" s="63"/>
      <c r="AP29" s="63"/>
      <c r="AQ29" s="63"/>
      <c r="AR29" s="63"/>
      <c r="AS29" s="63"/>
      <c r="AT29" s="63"/>
      <c r="AU29" s="63"/>
      <c r="AV29" s="63"/>
      <c r="AW29" s="63"/>
      <c r="AX29" s="63"/>
      <c r="AY29" s="63"/>
    </row>
    <row r="30" spans="1:51" ht="3" customHeight="1" thickBot="1">
      <c r="A30" s="584"/>
      <c r="B30" s="585"/>
      <c r="C30" s="585"/>
      <c r="D30" s="1836"/>
      <c r="E30" s="1836"/>
      <c r="F30" s="1836"/>
      <c r="G30" s="1836"/>
      <c r="H30" s="1836"/>
      <c r="I30" s="1836"/>
      <c r="J30" s="1836"/>
      <c r="K30" s="1836"/>
      <c r="L30" s="1836"/>
      <c r="M30" s="1836"/>
      <c r="N30" s="1836"/>
      <c r="O30" s="1836"/>
      <c r="P30" s="1836"/>
      <c r="Q30" s="1837"/>
      <c r="R30" s="584"/>
      <c r="S30" s="585"/>
      <c r="T30" s="585"/>
      <c r="U30" s="586"/>
      <c r="V30" s="586"/>
      <c r="W30" s="586"/>
      <c r="X30" s="586"/>
      <c r="Y30" s="586"/>
      <c r="Z30" s="586"/>
      <c r="AA30" s="586"/>
      <c r="AB30" s="586"/>
      <c r="AC30" s="586"/>
      <c r="AD30" s="586"/>
      <c r="AE30" s="586"/>
      <c r="AF30" s="586"/>
      <c r="AG30" s="586"/>
      <c r="AH30" s="586"/>
      <c r="AI30" s="586"/>
      <c r="AJ30" s="586"/>
      <c r="AK30" s="586"/>
      <c r="AL30" s="586"/>
      <c r="AM30" s="586"/>
      <c r="AN30" s="587"/>
      <c r="AO30" s="63"/>
      <c r="AP30" s="63"/>
      <c r="AQ30" s="63"/>
      <c r="AR30" s="63"/>
      <c r="AS30" s="63"/>
      <c r="AT30" s="63"/>
      <c r="AU30" s="63"/>
      <c r="AV30" s="63"/>
      <c r="AW30" s="63"/>
      <c r="AX30" s="63"/>
      <c r="AY30" s="63"/>
    </row>
    <row r="31" spans="1:51" ht="3" customHeight="1" thickBot="1">
      <c r="A31" s="63"/>
      <c r="B31" s="63"/>
      <c r="C31" s="63"/>
      <c r="D31" s="63"/>
      <c r="E31" s="63"/>
      <c r="F31" s="63"/>
      <c r="G31" s="63"/>
      <c r="H31" s="63"/>
      <c r="I31" s="63"/>
      <c r="J31" s="63"/>
      <c r="K31" s="63"/>
      <c r="L31" s="63"/>
      <c r="M31" s="63"/>
      <c r="N31" s="63"/>
      <c r="O31" s="63"/>
      <c r="P31" s="63"/>
      <c r="Q31" s="63"/>
      <c r="R31" s="63"/>
      <c r="S31" s="63"/>
      <c r="T31" s="63"/>
      <c r="U31" s="63"/>
      <c r="V31" s="63"/>
      <c r="W31" s="63"/>
      <c r="X31" s="63"/>
      <c r="Y31" s="63"/>
      <c r="Z31" s="63"/>
      <c r="AA31" s="63"/>
      <c r="AB31" s="63"/>
      <c r="AC31" s="63"/>
      <c r="AD31" s="63"/>
      <c r="AE31" s="63"/>
      <c r="AF31" s="63"/>
      <c r="AG31" s="63"/>
      <c r="AH31" s="63"/>
      <c r="AI31" s="63"/>
      <c r="AJ31" s="63"/>
      <c r="AK31" s="63"/>
      <c r="AL31" s="63"/>
      <c r="AM31" s="63"/>
      <c r="AN31" s="63"/>
      <c r="AO31" s="63"/>
      <c r="AP31" s="63"/>
      <c r="AQ31" s="63"/>
      <c r="AR31" s="63"/>
      <c r="AS31" s="63"/>
      <c r="AT31" s="63"/>
      <c r="AU31" s="63"/>
      <c r="AV31" s="63"/>
      <c r="AW31" s="63"/>
      <c r="AX31" s="63"/>
      <c r="AY31" s="63"/>
    </row>
    <row r="32" spans="1:51" ht="3" customHeight="1">
      <c r="A32" s="1838"/>
      <c r="B32" s="1839"/>
      <c r="C32" s="1839"/>
      <c r="D32" s="1839"/>
      <c r="E32" s="1839"/>
      <c r="F32" s="1839"/>
      <c r="G32" s="1839"/>
      <c r="H32" s="1839"/>
      <c r="I32" s="1839"/>
      <c r="J32" s="1839"/>
      <c r="K32" s="1840"/>
      <c r="L32" s="1840"/>
      <c r="M32" s="1840"/>
      <c r="N32" s="1840"/>
      <c r="O32" s="1840"/>
      <c r="P32" s="1840"/>
      <c r="Q32" s="1840"/>
      <c r="R32" s="1839"/>
      <c r="S32" s="1839"/>
      <c r="T32" s="1839"/>
      <c r="U32" s="1839"/>
      <c r="V32" s="1839"/>
      <c r="W32" s="1839"/>
      <c r="X32" s="1839"/>
      <c r="Y32" s="1840"/>
      <c r="Z32" s="1840"/>
      <c r="AA32" s="1840"/>
      <c r="AB32" s="1840"/>
      <c r="AC32" s="1840"/>
      <c r="AD32" s="1840"/>
      <c r="AE32" s="1840"/>
      <c r="AF32" s="1840"/>
      <c r="AG32" s="1840"/>
      <c r="AH32" s="1840"/>
      <c r="AI32" s="1840"/>
      <c r="AJ32" s="1840"/>
      <c r="AK32" s="1840"/>
      <c r="AL32" s="1840"/>
      <c r="AM32" s="1840"/>
      <c r="AN32" s="1841"/>
      <c r="AO32" s="63"/>
      <c r="AP32" s="63"/>
      <c r="AQ32" s="63"/>
      <c r="AR32" s="63"/>
      <c r="AS32" s="63"/>
      <c r="AT32" s="63"/>
      <c r="AU32" s="63"/>
      <c r="AV32" s="63"/>
      <c r="AW32" s="63"/>
      <c r="AX32" s="63"/>
      <c r="AY32" s="63"/>
    </row>
    <row r="33" spans="1:93" ht="16.5" customHeight="1">
      <c r="A33" s="1833" t="str">
        <f>VLOOKUP("copypackagingproposal",Translations!$A:$T,MATCH(Cover!DR19,Translations!A2:P2,0),0)</f>
        <v>Please include a detailled description of the packaging agreed with MANN+HUMMEL incl. pictures (packing unit, inner protection, palette, quantities per packing unit/palette, identification label).</v>
      </c>
      <c r="B33" s="1834"/>
      <c r="C33" s="1834"/>
      <c r="D33" s="1834"/>
      <c r="E33" s="1834"/>
      <c r="F33" s="1834"/>
      <c r="G33" s="1834"/>
      <c r="H33" s="1834"/>
      <c r="I33" s="1834"/>
      <c r="J33" s="1834"/>
      <c r="K33" s="1834"/>
      <c r="L33" s="1834"/>
      <c r="M33" s="1834"/>
      <c r="N33" s="1834"/>
      <c r="O33" s="1834"/>
      <c r="P33" s="1834"/>
      <c r="Q33" s="1834"/>
      <c r="R33" s="1834"/>
      <c r="S33" s="1834"/>
      <c r="T33" s="1834"/>
      <c r="U33" s="1834"/>
      <c r="V33" s="1834"/>
      <c r="W33" s="1834"/>
      <c r="X33" s="1834"/>
      <c r="Y33" s="1834"/>
      <c r="Z33" s="1834"/>
      <c r="AA33" s="1834"/>
      <c r="AB33" s="1834"/>
      <c r="AC33" s="1834"/>
      <c r="AD33" s="1834"/>
      <c r="AE33" s="1834"/>
      <c r="AF33" s="1834"/>
      <c r="AG33" s="1834"/>
      <c r="AH33" s="1834"/>
      <c r="AI33" s="1834"/>
      <c r="AJ33" s="1834"/>
      <c r="AK33" s="1834"/>
      <c r="AL33" s="1834"/>
      <c r="AM33" s="1834"/>
      <c r="AN33" s="1835"/>
      <c r="AO33" s="63"/>
      <c r="AP33" s="63"/>
      <c r="AQ33" s="63"/>
      <c r="AR33" s="63"/>
      <c r="AS33" s="63"/>
      <c r="AT33" s="63"/>
      <c r="AU33" s="63"/>
      <c r="AV33" s="63"/>
      <c r="AW33" s="63"/>
      <c r="AX33" s="63"/>
      <c r="AY33" s="63"/>
    </row>
    <row r="34" spans="1:93" ht="16.5" customHeight="1">
      <c r="A34" s="1833"/>
      <c r="B34" s="1834"/>
      <c r="C34" s="1834"/>
      <c r="D34" s="1834"/>
      <c r="E34" s="1834"/>
      <c r="F34" s="1834"/>
      <c r="G34" s="1834"/>
      <c r="H34" s="1834"/>
      <c r="I34" s="1834"/>
      <c r="J34" s="1834"/>
      <c r="K34" s="1834"/>
      <c r="L34" s="1834"/>
      <c r="M34" s="1834"/>
      <c r="N34" s="1834"/>
      <c r="O34" s="1834"/>
      <c r="P34" s="1834"/>
      <c r="Q34" s="1834"/>
      <c r="R34" s="1834"/>
      <c r="S34" s="1834"/>
      <c r="T34" s="1834"/>
      <c r="U34" s="1834"/>
      <c r="V34" s="1834"/>
      <c r="W34" s="1834"/>
      <c r="X34" s="1834"/>
      <c r="Y34" s="1834"/>
      <c r="Z34" s="1834"/>
      <c r="AA34" s="1834"/>
      <c r="AB34" s="1834"/>
      <c r="AC34" s="1834"/>
      <c r="AD34" s="1834"/>
      <c r="AE34" s="1834"/>
      <c r="AF34" s="1834"/>
      <c r="AG34" s="1834"/>
      <c r="AH34" s="1834"/>
      <c r="AI34" s="1834"/>
      <c r="AJ34" s="1834"/>
      <c r="AK34" s="1834"/>
      <c r="AL34" s="1834"/>
      <c r="AM34" s="1834"/>
      <c r="AN34" s="1835"/>
      <c r="AO34" s="63"/>
      <c r="AP34" s="63"/>
      <c r="AQ34" s="63"/>
      <c r="AR34" s="63"/>
      <c r="AS34" s="63"/>
      <c r="AT34" s="63"/>
      <c r="AU34" s="63"/>
      <c r="AV34" s="63"/>
      <c r="AW34" s="63"/>
      <c r="AX34" s="63"/>
      <c r="AY34" s="63"/>
    </row>
    <row r="35" spans="1:93" ht="16.5" customHeight="1">
      <c r="A35" s="1833"/>
      <c r="B35" s="1834"/>
      <c r="C35" s="1834"/>
      <c r="D35" s="1834"/>
      <c r="E35" s="1834"/>
      <c r="F35" s="1834"/>
      <c r="G35" s="1834"/>
      <c r="H35" s="1834"/>
      <c r="I35" s="1834"/>
      <c r="J35" s="1834"/>
      <c r="K35" s="1834"/>
      <c r="L35" s="1834"/>
      <c r="M35" s="1834"/>
      <c r="N35" s="1834"/>
      <c r="O35" s="1834"/>
      <c r="P35" s="1834"/>
      <c r="Q35" s="1834"/>
      <c r="R35" s="1834"/>
      <c r="S35" s="1834"/>
      <c r="T35" s="1834"/>
      <c r="U35" s="1834"/>
      <c r="V35" s="1834"/>
      <c r="W35" s="1834"/>
      <c r="X35" s="1834"/>
      <c r="Y35" s="1834"/>
      <c r="Z35" s="1834"/>
      <c r="AA35" s="1834"/>
      <c r="AB35" s="1834"/>
      <c r="AC35" s="1834"/>
      <c r="AD35" s="1834"/>
      <c r="AE35" s="1834"/>
      <c r="AF35" s="1834"/>
      <c r="AG35" s="1834"/>
      <c r="AH35" s="1834"/>
      <c r="AI35" s="1834"/>
      <c r="AJ35" s="1834"/>
      <c r="AK35" s="1834"/>
      <c r="AL35" s="1834"/>
      <c r="AM35" s="1834"/>
      <c r="AN35" s="1835"/>
      <c r="AO35" s="63"/>
      <c r="AP35" s="63"/>
      <c r="AQ35" s="63"/>
      <c r="AR35" s="63"/>
      <c r="AS35" s="63"/>
      <c r="AT35" s="63"/>
      <c r="AU35" s="63"/>
      <c r="AV35" s="63"/>
      <c r="AW35" s="63"/>
      <c r="AX35" s="63"/>
      <c r="AY35" s="63"/>
    </row>
    <row r="36" spans="1:93" ht="16.5" customHeight="1">
      <c r="A36" s="1833"/>
      <c r="B36" s="1834"/>
      <c r="C36" s="1834"/>
      <c r="D36" s="1834"/>
      <c r="E36" s="1834"/>
      <c r="F36" s="1834"/>
      <c r="G36" s="1834"/>
      <c r="H36" s="1834"/>
      <c r="I36" s="1834"/>
      <c r="J36" s="1834"/>
      <c r="K36" s="1834"/>
      <c r="L36" s="1834"/>
      <c r="M36" s="1834"/>
      <c r="N36" s="1834"/>
      <c r="O36" s="1834"/>
      <c r="P36" s="1834"/>
      <c r="Q36" s="1834"/>
      <c r="R36" s="1834"/>
      <c r="S36" s="1834"/>
      <c r="T36" s="1834"/>
      <c r="U36" s="1834"/>
      <c r="V36" s="1834"/>
      <c r="W36" s="1834"/>
      <c r="X36" s="1834"/>
      <c r="Y36" s="1834"/>
      <c r="Z36" s="1834"/>
      <c r="AA36" s="1834"/>
      <c r="AB36" s="1834"/>
      <c r="AC36" s="1834"/>
      <c r="AD36" s="1834"/>
      <c r="AE36" s="1834"/>
      <c r="AF36" s="1834"/>
      <c r="AG36" s="1834"/>
      <c r="AH36" s="1834"/>
      <c r="AI36" s="1834"/>
      <c r="AJ36" s="1834"/>
      <c r="AK36" s="1834"/>
      <c r="AL36" s="1834"/>
      <c r="AM36" s="1834"/>
      <c r="AN36" s="1835"/>
      <c r="AO36" s="63"/>
      <c r="AP36" s="63"/>
      <c r="AQ36" s="63"/>
      <c r="AR36" s="63"/>
      <c r="AS36" s="63"/>
      <c r="AT36" s="63"/>
      <c r="AU36" s="63"/>
      <c r="AV36" s="63"/>
      <c r="AW36" s="63"/>
      <c r="AX36" s="63"/>
      <c r="AY36" s="63"/>
    </row>
    <row r="37" spans="1:93" ht="16.5" customHeight="1">
      <c r="A37" s="1833"/>
      <c r="B37" s="1834"/>
      <c r="C37" s="1834"/>
      <c r="D37" s="1834"/>
      <c r="E37" s="1834"/>
      <c r="F37" s="1834"/>
      <c r="G37" s="1834"/>
      <c r="H37" s="1834"/>
      <c r="I37" s="1834"/>
      <c r="J37" s="1834"/>
      <c r="K37" s="1834"/>
      <c r="L37" s="1834"/>
      <c r="M37" s="1834"/>
      <c r="N37" s="1834"/>
      <c r="O37" s="1834"/>
      <c r="P37" s="1834"/>
      <c r="Q37" s="1834"/>
      <c r="R37" s="1834"/>
      <c r="S37" s="1834"/>
      <c r="T37" s="1834"/>
      <c r="U37" s="1834"/>
      <c r="V37" s="1834"/>
      <c r="W37" s="1834"/>
      <c r="X37" s="1834"/>
      <c r="Y37" s="1834"/>
      <c r="Z37" s="1834"/>
      <c r="AA37" s="1834"/>
      <c r="AB37" s="1834"/>
      <c r="AC37" s="1834"/>
      <c r="AD37" s="1834"/>
      <c r="AE37" s="1834"/>
      <c r="AF37" s="1834"/>
      <c r="AG37" s="1834"/>
      <c r="AH37" s="1834"/>
      <c r="AI37" s="1834"/>
      <c r="AJ37" s="1834"/>
      <c r="AK37" s="1834"/>
      <c r="AL37" s="1834"/>
      <c r="AM37" s="1834"/>
      <c r="AN37" s="1835"/>
      <c r="AO37" s="63"/>
      <c r="AP37" s="63"/>
      <c r="AQ37" s="63"/>
      <c r="AR37" s="63"/>
      <c r="AS37" s="63"/>
      <c r="AT37" s="63"/>
      <c r="AU37" s="63"/>
      <c r="AV37" s="63"/>
      <c r="AW37" s="63"/>
      <c r="AX37" s="63"/>
      <c r="AY37" s="63"/>
    </row>
    <row r="38" spans="1:93" ht="16.5" customHeight="1">
      <c r="A38" s="1833"/>
      <c r="B38" s="1834"/>
      <c r="C38" s="1834"/>
      <c r="D38" s="1834"/>
      <c r="E38" s="1834"/>
      <c r="F38" s="1834"/>
      <c r="G38" s="1834"/>
      <c r="H38" s="1834"/>
      <c r="I38" s="1834"/>
      <c r="J38" s="1834"/>
      <c r="K38" s="1834"/>
      <c r="L38" s="1834"/>
      <c r="M38" s="1834"/>
      <c r="N38" s="1834"/>
      <c r="O38" s="1834"/>
      <c r="P38" s="1834"/>
      <c r="Q38" s="1834"/>
      <c r="R38" s="1834"/>
      <c r="S38" s="1834"/>
      <c r="T38" s="1834"/>
      <c r="U38" s="1834"/>
      <c r="V38" s="1834"/>
      <c r="W38" s="1834"/>
      <c r="X38" s="1834"/>
      <c r="Y38" s="1834"/>
      <c r="Z38" s="1834"/>
      <c r="AA38" s="1834"/>
      <c r="AB38" s="1834"/>
      <c r="AC38" s="1834"/>
      <c r="AD38" s="1834"/>
      <c r="AE38" s="1834"/>
      <c r="AF38" s="1834"/>
      <c r="AG38" s="1834"/>
      <c r="AH38" s="1834"/>
      <c r="AI38" s="1834"/>
      <c r="AJ38" s="1834"/>
      <c r="AK38" s="1834"/>
      <c r="AL38" s="1834"/>
      <c r="AM38" s="1834"/>
      <c r="AN38" s="1835"/>
      <c r="AO38" s="63"/>
      <c r="AP38" s="63"/>
      <c r="AQ38" s="63"/>
      <c r="AR38" s="63"/>
      <c r="AS38" s="63"/>
      <c r="AT38" s="63"/>
      <c r="AU38" s="63"/>
      <c r="AV38" s="63"/>
      <c r="AW38" s="63"/>
      <c r="AX38" s="63"/>
      <c r="AY38" s="63"/>
    </row>
    <row r="39" spans="1:93" ht="3" customHeight="1">
      <c r="A39" s="1833"/>
      <c r="B39" s="1834"/>
      <c r="C39" s="1834"/>
      <c r="D39" s="1834"/>
      <c r="E39" s="1834"/>
      <c r="F39" s="1834"/>
      <c r="G39" s="1834"/>
      <c r="H39" s="1834"/>
      <c r="I39" s="1834"/>
      <c r="J39" s="1834"/>
      <c r="K39" s="1834"/>
      <c r="L39" s="1834"/>
      <c r="M39" s="1834"/>
      <c r="N39" s="1834"/>
      <c r="O39" s="1834"/>
      <c r="P39" s="1834"/>
      <c r="Q39" s="1834"/>
      <c r="R39" s="1834"/>
      <c r="S39" s="1834"/>
      <c r="T39" s="1834"/>
      <c r="U39" s="1834"/>
      <c r="V39" s="1834"/>
      <c r="W39" s="1834"/>
      <c r="X39" s="1834"/>
      <c r="Y39" s="1834"/>
      <c r="Z39" s="1834"/>
      <c r="AA39" s="1834"/>
      <c r="AB39" s="1834"/>
      <c r="AC39" s="1834"/>
      <c r="AD39" s="1834"/>
      <c r="AE39" s="1834"/>
      <c r="AF39" s="1834"/>
      <c r="AG39" s="1834"/>
      <c r="AH39" s="1834"/>
      <c r="AI39" s="1834"/>
      <c r="AJ39" s="1834"/>
      <c r="AK39" s="1834"/>
      <c r="AL39" s="1834"/>
      <c r="AM39" s="1834"/>
      <c r="AN39" s="1835"/>
      <c r="AO39" s="63"/>
      <c r="AP39" s="63"/>
      <c r="AQ39" s="63"/>
      <c r="AR39" s="63"/>
      <c r="AS39" s="63"/>
      <c r="AT39" s="63"/>
      <c r="AU39" s="63"/>
      <c r="AV39" s="63"/>
      <c r="AW39" s="63"/>
      <c r="AX39" s="63"/>
      <c r="AY39" s="63"/>
    </row>
    <row r="40" spans="1:93" ht="49.5" customHeight="1">
      <c r="A40" s="1833"/>
      <c r="B40" s="1834"/>
      <c r="C40" s="1834"/>
      <c r="D40" s="1834"/>
      <c r="E40" s="1834"/>
      <c r="F40" s="1834"/>
      <c r="G40" s="1834"/>
      <c r="H40" s="1834"/>
      <c r="I40" s="1834"/>
      <c r="J40" s="1834"/>
      <c r="K40" s="1834"/>
      <c r="L40" s="1834"/>
      <c r="M40" s="1834"/>
      <c r="N40" s="1834"/>
      <c r="O40" s="1834"/>
      <c r="P40" s="1834"/>
      <c r="Q40" s="1834"/>
      <c r="R40" s="1834"/>
      <c r="S40" s="1834"/>
      <c r="T40" s="1834"/>
      <c r="U40" s="1834"/>
      <c r="V40" s="1834"/>
      <c r="W40" s="1834"/>
      <c r="X40" s="1834"/>
      <c r="Y40" s="1834"/>
      <c r="Z40" s="1834"/>
      <c r="AA40" s="1834"/>
      <c r="AB40" s="1834"/>
      <c r="AC40" s="1834"/>
      <c r="AD40" s="1834"/>
      <c r="AE40" s="1834"/>
      <c r="AF40" s="1834"/>
      <c r="AG40" s="1834"/>
      <c r="AH40" s="1834"/>
      <c r="AI40" s="1834"/>
      <c r="AJ40" s="1834"/>
      <c r="AK40" s="1834"/>
      <c r="AL40" s="1834"/>
      <c r="AM40" s="1834"/>
      <c r="AN40" s="1835"/>
      <c r="AO40" s="63"/>
      <c r="AP40" s="63"/>
      <c r="AQ40" s="63"/>
      <c r="AR40" s="63"/>
      <c r="AS40" s="63"/>
      <c r="AT40" s="63"/>
      <c r="AU40" s="63"/>
      <c r="AV40" s="63"/>
      <c r="AW40" s="63"/>
      <c r="AX40" s="63"/>
      <c r="AY40" s="63"/>
    </row>
    <row r="41" spans="1:93" ht="3" customHeight="1">
      <c r="A41" s="1833"/>
      <c r="B41" s="1834"/>
      <c r="C41" s="1834"/>
      <c r="D41" s="1834"/>
      <c r="E41" s="1834"/>
      <c r="F41" s="1834"/>
      <c r="G41" s="1834"/>
      <c r="H41" s="1834"/>
      <c r="I41" s="1834"/>
      <c r="J41" s="1834"/>
      <c r="K41" s="1834"/>
      <c r="L41" s="1834"/>
      <c r="M41" s="1834"/>
      <c r="N41" s="1834"/>
      <c r="O41" s="1834"/>
      <c r="P41" s="1834"/>
      <c r="Q41" s="1834"/>
      <c r="R41" s="1834"/>
      <c r="S41" s="1834"/>
      <c r="T41" s="1834"/>
      <c r="U41" s="1834"/>
      <c r="V41" s="1834"/>
      <c r="W41" s="1834"/>
      <c r="X41" s="1834"/>
      <c r="Y41" s="1834"/>
      <c r="Z41" s="1834"/>
      <c r="AA41" s="1834"/>
      <c r="AB41" s="1834"/>
      <c r="AC41" s="1834"/>
      <c r="AD41" s="1834"/>
      <c r="AE41" s="1834"/>
      <c r="AF41" s="1834"/>
      <c r="AG41" s="1834"/>
      <c r="AH41" s="1834"/>
      <c r="AI41" s="1834"/>
      <c r="AJ41" s="1834"/>
      <c r="AK41" s="1834"/>
      <c r="AL41" s="1834"/>
      <c r="AM41" s="1834"/>
      <c r="AN41" s="1835"/>
      <c r="AO41" s="63"/>
      <c r="AP41" s="63"/>
      <c r="AQ41" s="63"/>
      <c r="AR41" s="63"/>
      <c r="AS41" s="63"/>
      <c r="AT41" s="63"/>
      <c r="AU41" s="63"/>
      <c r="AV41" s="63"/>
      <c r="AW41" s="63"/>
      <c r="AX41" s="63"/>
      <c r="AY41" s="63"/>
    </row>
    <row r="42" spans="1:93" ht="48" customHeight="1">
      <c r="A42" s="1833"/>
      <c r="B42" s="1834"/>
      <c r="C42" s="1834"/>
      <c r="D42" s="1834"/>
      <c r="E42" s="1834"/>
      <c r="F42" s="1834"/>
      <c r="G42" s="1834"/>
      <c r="H42" s="1834"/>
      <c r="I42" s="1834"/>
      <c r="J42" s="1834"/>
      <c r="K42" s="1834"/>
      <c r="L42" s="1834"/>
      <c r="M42" s="1834"/>
      <c r="N42" s="1834"/>
      <c r="O42" s="1834"/>
      <c r="P42" s="1834"/>
      <c r="Q42" s="1834"/>
      <c r="R42" s="1834"/>
      <c r="S42" s="1834"/>
      <c r="T42" s="1834"/>
      <c r="U42" s="1834"/>
      <c r="V42" s="1834"/>
      <c r="W42" s="1834"/>
      <c r="X42" s="1834"/>
      <c r="Y42" s="1834"/>
      <c r="Z42" s="1834"/>
      <c r="AA42" s="1834"/>
      <c r="AB42" s="1834"/>
      <c r="AC42" s="1834"/>
      <c r="AD42" s="1834"/>
      <c r="AE42" s="1834"/>
      <c r="AF42" s="1834"/>
      <c r="AG42" s="1834"/>
      <c r="AH42" s="1834"/>
      <c r="AI42" s="1834"/>
      <c r="AJ42" s="1834"/>
      <c r="AK42" s="1834"/>
      <c r="AL42" s="1834"/>
      <c r="AM42" s="1834"/>
      <c r="AN42" s="1835"/>
      <c r="AO42" s="63"/>
      <c r="AP42" s="588"/>
      <c r="AQ42" s="63"/>
      <c r="AR42" s="63"/>
      <c r="AS42" s="63"/>
      <c r="AT42" s="588"/>
      <c r="AU42" s="588"/>
      <c r="AV42" s="588"/>
      <c r="AW42" s="588"/>
      <c r="AX42" s="588"/>
      <c r="AY42" s="588"/>
      <c r="AZ42" s="76"/>
      <c r="BA42" s="76"/>
      <c r="BB42" s="76"/>
      <c r="BC42" s="76"/>
      <c r="BD42" s="76"/>
      <c r="BE42" s="76"/>
      <c r="BF42" s="76"/>
      <c r="BG42" s="76"/>
      <c r="BH42" s="76"/>
      <c r="BI42" s="76"/>
      <c r="BJ42" s="76"/>
      <c r="BK42" s="76"/>
      <c r="BL42" s="76"/>
      <c r="BM42" s="76"/>
      <c r="BN42" s="76"/>
      <c r="BO42" s="76"/>
      <c r="BP42" s="76"/>
      <c r="BQ42" s="76"/>
      <c r="BR42" s="76"/>
      <c r="BS42" s="76"/>
      <c r="BT42" s="80"/>
      <c r="BU42" s="80"/>
      <c r="BV42" s="80"/>
      <c r="BW42" s="80"/>
      <c r="BX42" s="80"/>
      <c r="BY42" s="80"/>
      <c r="BZ42" s="80"/>
      <c r="CA42" s="80"/>
      <c r="CB42" s="80"/>
      <c r="CC42" s="80"/>
      <c r="CD42" s="80"/>
      <c r="CE42" s="80"/>
      <c r="CF42" s="80"/>
      <c r="CG42" s="80"/>
      <c r="CH42" s="80"/>
      <c r="CI42" s="80"/>
      <c r="CJ42" s="80"/>
      <c r="CK42" s="80"/>
      <c r="CL42" s="80"/>
      <c r="CM42" s="80"/>
      <c r="CN42" s="80"/>
      <c r="CO42" s="80"/>
    </row>
    <row r="43" spans="1:93" ht="33.75" customHeight="1">
      <c r="A43" s="1833"/>
      <c r="B43" s="1834"/>
      <c r="C43" s="1834"/>
      <c r="D43" s="1834"/>
      <c r="E43" s="1834"/>
      <c r="F43" s="1834"/>
      <c r="G43" s="1834"/>
      <c r="H43" s="1834"/>
      <c r="I43" s="1834"/>
      <c r="J43" s="1834"/>
      <c r="K43" s="1834"/>
      <c r="L43" s="1834"/>
      <c r="M43" s="1834"/>
      <c r="N43" s="1834"/>
      <c r="O43" s="1834"/>
      <c r="P43" s="1834"/>
      <c r="Q43" s="1834"/>
      <c r="R43" s="1834"/>
      <c r="S43" s="1834"/>
      <c r="T43" s="1834"/>
      <c r="U43" s="1834"/>
      <c r="V43" s="1834"/>
      <c r="W43" s="1834"/>
      <c r="X43" s="1834"/>
      <c r="Y43" s="1834"/>
      <c r="Z43" s="1834"/>
      <c r="AA43" s="1834"/>
      <c r="AB43" s="1834"/>
      <c r="AC43" s="1834"/>
      <c r="AD43" s="1834"/>
      <c r="AE43" s="1834"/>
      <c r="AF43" s="1834"/>
      <c r="AG43" s="1834"/>
      <c r="AH43" s="1834"/>
      <c r="AI43" s="1834"/>
      <c r="AJ43" s="1834"/>
      <c r="AK43" s="1834"/>
      <c r="AL43" s="1834"/>
      <c r="AM43" s="1834"/>
      <c r="AN43" s="1835"/>
      <c r="AO43" s="63"/>
      <c r="AP43" s="588"/>
      <c r="AQ43" s="589"/>
      <c r="AR43" s="589"/>
      <c r="AS43" s="63"/>
      <c r="AT43" s="588"/>
      <c r="AU43" s="63"/>
      <c r="AV43" s="588"/>
      <c r="AW43" s="588"/>
      <c r="AX43" s="63"/>
      <c r="AY43" s="588"/>
      <c r="AZ43" s="76"/>
      <c r="BB43" s="76"/>
      <c r="BE43" s="76"/>
      <c r="BG43" s="76"/>
      <c r="BH43" s="76"/>
      <c r="BI43" s="76"/>
      <c r="BJ43" s="25"/>
      <c r="BL43" s="76"/>
      <c r="BM43" s="76"/>
      <c r="BN43" s="76"/>
      <c r="BO43" s="76"/>
      <c r="BP43" s="76"/>
      <c r="BQ43" s="76"/>
      <c r="BR43" s="76"/>
      <c r="BS43" s="76"/>
      <c r="BT43" s="80"/>
      <c r="BU43" s="80"/>
      <c r="BV43" s="80"/>
      <c r="BW43" s="80"/>
      <c r="BX43" s="80"/>
      <c r="BY43" s="80"/>
      <c r="BZ43" s="80"/>
      <c r="CA43" s="80"/>
      <c r="CB43" s="413"/>
      <c r="CC43" s="80"/>
      <c r="CD43" s="80"/>
      <c r="CE43" s="80"/>
      <c r="CF43" s="413"/>
      <c r="CG43" s="80"/>
      <c r="CH43" s="80"/>
      <c r="CI43" s="80"/>
      <c r="CJ43" s="80"/>
      <c r="CK43" s="80"/>
      <c r="CL43" s="80"/>
      <c r="CM43" s="80"/>
      <c r="CN43" s="80"/>
      <c r="CO43" s="80"/>
    </row>
    <row r="44" spans="1:93" ht="33.75" customHeight="1">
      <c r="A44" s="1833"/>
      <c r="B44" s="1834"/>
      <c r="C44" s="1834"/>
      <c r="D44" s="1834"/>
      <c r="E44" s="1834"/>
      <c r="F44" s="1834"/>
      <c r="G44" s="1834"/>
      <c r="H44" s="1834"/>
      <c r="I44" s="1834"/>
      <c r="J44" s="1834"/>
      <c r="K44" s="1834"/>
      <c r="L44" s="1834"/>
      <c r="M44" s="1834"/>
      <c r="N44" s="1834"/>
      <c r="O44" s="1834"/>
      <c r="P44" s="1834"/>
      <c r="Q44" s="1834"/>
      <c r="R44" s="1834"/>
      <c r="S44" s="1834"/>
      <c r="T44" s="1834"/>
      <c r="U44" s="1834"/>
      <c r="V44" s="1834"/>
      <c r="W44" s="1834"/>
      <c r="X44" s="1834"/>
      <c r="Y44" s="1834"/>
      <c r="Z44" s="1834"/>
      <c r="AA44" s="1834"/>
      <c r="AB44" s="1834"/>
      <c r="AC44" s="1834"/>
      <c r="AD44" s="1834"/>
      <c r="AE44" s="1834"/>
      <c r="AF44" s="1834"/>
      <c r="AG44" s="1834"/>
      <c r="AH44" s="1834"/>
      <c r="AI44" s="1834"/>
      <c r="AJ44" s="1834"/>
      <c r="AK44" s="1834"/>
      <c r="AL44" s="1834"/>
      <c r="AM44" s="1834"/>
      <c r="AN44" s="1835"/>
      <c r="AO44" s="63"/>
      <c r="AP44" s="63"/>
      <c r="AQ44" s="63"/>
      <c r="AR44" s="63"/>
      <c r="AS44" s="63"/>
      <c r="AT44" s="588"/>
      <c r="AU44" s="63"/>
      <c r="AV44" s="63"/>
      <c r="AW44" s="63"/>
      <c r="AX44" s="63"/>
      <c r="AY44" s="63"/>
    </row>
    <row r="45" spans="1:93" ht="33.75" customHeight="1">
      <c r="A45" s="1833"/>
      <c r="B45" s="1834"/>
      <c r="C45" s="1834"/>
      <c r="D45" s="1834"/>
      <c r="E45" s="1834"/>
      <c r="F45" s="1834"/>
      <c r="G45" s="1834"/>
      <c r="H45" s="1834"/>
      <c r="I45" s="1834"/>
      <c r="J45" s="1834"/>
      <c r="K45" s="1834"/>
      <c r="L45" s="1834"/>
      <c r="M45" s="1834"/>
      <c r="N45" s="1834"/>
      <c r="O45" s="1834"/>
      <c r="P45" s="1834"/>
      <c r="Q45" s="1834"/>
      <c r="R45" s="1834"/>
      <c r="S45" s="1834"/>
      <c r="T45" s="1834"/>
      <c r="U45" s="1834"/>
      <c r="V45" s="1834"/>
      <c r="W45" s="1834"/>
      <c r="X45" s="1834"/>
      <c r="Y45" s="1834"/>
      <c r="Z45" s="1834"/>
      <c r="AA45" s="1834"/>
      <c r="AB45" s="1834"/>
      <c r="AC45" s="1834"/>
      <c r="AD45" s="1834"/>
      <c r="AE45" s="1834"/>
      <c r="AF45" s="1834"/>
      <c r="AG45" s="1834"/>
      <c r="AH45" s="1834"/>
      <c r="AI45" s="1834"/>
      <c r="AJ45" s="1834"/>
      <c r="AK45" s="1834"/>
      <c r="AL45" s="1834"/>
      <c r="AM45" s="1834"/>
      <c r="AN45" s="1835"/>
      <c r="AO45" s="63"/>
      <c r="AP45" s="63"/>
      <c r="AQ45" s="63"/>
      <c r="AR45" s="63"/>
      <c r="AS45" s="63"/>
      <c r="AT45" s="63"/>
      <c r="AU45" s="63"/>
      <c r="AV45" s="63"/>
      <c r="AW45" s="63"/>
      <c r="AX45" s="63"/>
      <c r="AY45" s="588"/>
    </row>
    <row r="46" spans="1:93" ht="33.75" customHeight="1">
      <c r="A46" s="1833"/>
      <c r="B46" s="1834"/>
      <c r="C46" s="1834"/>
      <c r="D46" s="1834"/>
      <c r="E46" s="1834"/>
      <c r="F46" s="1834"/>
      <c r="G46" s="1834"/>
      <c r="H46" s="1834"/>
      <c r="I46" s="1834"/>
      <c r="J46" s="1834"/>
      <c r="K46" s="1834"/>
      <c r="L46" s="1834"/>
      <c r="M46" s="1834"/>
      <c r="N46" s="1834"/>
      <c r="O46" s="1834"/>
      <c r="P46" s="1834"/>
      <c r="Q46" s="1834"/>
      <c r="R46" s="1834"/>
      <c r="S46" s="1834"/>
      <c r="T46" s="1834"/>
      <c r="U46" s="1834"/>
      <c r="V46" s="1834"/>
      <c r="W46" s="1834"/>
      <c r="X46" s="1834"/>
      <c r="Y46" s="1834"/>
      <c r="Z46" s="1834"/>
      <c r="AA46" s="1834"/>
      <c r="AB46" s="1834"/>
      <c r="AC46" s="1834"/>
      <c r="AD46" s="1834"/>
      <c r="AE46" s="1834"/>
      <c r="AF46" s="1834"/>
      <c r="AG46" s="1834"/>
      <c r="AH46" s="1834"/>
      <c r="AI46" s="1834"/>
      <c r="AJ46" s="1834"/>
      <c r="AK46" s="1834"/>
      <c r="AL46" s="1834"/>
      <c r="AM46" s="1834"/>
      <c r="AN46" s="1835"/>
      <c r="AO46" s="63"/>
      <c r="AP46" s="63"/>
      <c r="AQ46" s="63"/>
      <c r="AR46" s="63"/>
      <c r="AS46" s="63"/>
      <c r="AT46" s="63"/>
      <c r="AU46" s="63"/>
      <c r="AV46" s="63"/>
      <c r="AW46" s="63"/>
      <c r="AX46" s="63"/>
      <c r="AY46" s="63"/>
      <c r="AZ46" s="76"/>
    </row>
    <row r="47" spans="1:93" ht="33.75" customHeight="1">
      <c r="A47" s="1833"/>
      <c r="B47" s="1834"/>
      <c r="C47" s="1834"/>
      <c r="D47" s="1834"/>
      <c r="E47" s="1834"/>
      <c r="F47" s="1834"/>
      <c r="G47" s="1834"/>
      <c r="H47" s="1834"/>
      <c r="I47" s="1834"/>
      <c r="J47" s="1834"/>
      <c r="K47" s="1834"/>
      <c r="L47" s="1834"/>
      <c r="M47" s="1834"/>
      <c r="N47" s="1834"/>
      <c r="O47" s="1834"/>
      <c r="P47" s="1834"/>
      <c r="Q47" s="1834"/>
      <c r="R47" s="1834"/>
      <c r="S47" s="1834"/>
      <c r="T47" s="1834"/>
      <c r="U47" s="1834"/>
      <c r="V47" s="1834"/>
      <c r="W47" s="1834"/>
      <c r="X47" s="1834"/>
      <c r="Y47" s="1834"/>
      <c r="Z47" s="1834"/>
      <c r="AA47" s="1834"/>
      <c r="AB47" s="1834"/>
      <c r="AC47" s="1834"/>
      <c r="AD47" s="1834"/>
      <c r="AE47" s="1834"/>
      <c r="AF47" s="1834"/>
      <c r="AG47" s="1834"/>
      <c r="AH47" s="1834"/>
      <c r="AI47" s="1834"/>
      <c r="AJ47" s="1834"/>
      <c r="AK47" s="1834"/>
      <c r="AL47" s="1834"/>
      <c r="AM47" s="1834"/>
      <c r="AN47" s="1835"/>
      <c r="AO47" s="63"/>
      <c r="AP47" s="63"/>
      <c r="AQ47" s="63"/>
      <c r="AR47" s="63"/>
      <c r="AS47" s="63"/>
      <c r="AT47" s="63"/>
      <c r="AU47" s="63"/>
      <c r="AV47" s="63"/>
      <c r="AW47" s="63"/>
      <c r="AX47" s="63"/>
      <c r="AY47" s="63"/>
    </row>
    <row r="48" spans="1:93" ht="33.75" customHeight="1">
      <c r="A48" s="1833"/>
      <c r="B48" s="1834"/>
      <c r="C48" s="1834"/>
      <c r="D48" s="1834"/>
      <c r="E48" s="1834"/>
      <c r="F48" s="1834"/>
      <c r="G48" s="1834"/>
      <c r="H48" s="1834"/>
      <c r="I48" s="1834"/>
      <c r="J48" s="1834"/>
      <c r="K48" s="1834"/>
      <c r="L48" s="1834"/>
      <c r="M48" s="1834"/>
      <c r="N48" s="1834"/>
      <c r="O48" s="1834"/>
      <c r="P48" s="1834"/>
      <c r="Q48" s="1834"/>
      <c r="R48" s="1834"/>
      <c r="S48" s="1834"/>
      <c r="T48" s="1834"/>
      <c r="U48" s="1834"/>
      <c r="V48" s="1834"/>
      <c r="W48" s="1834"/>
      <c r="X48" s="1834"/>
      <c r="Y48" s="1834"/>
      <c r="Z48" s="1834"/>
      <c r="AA48" s="1834"/>
      <c r="AB48" s="1834"/>
      <c r="AC48" s="1834"/>
      <c r="AD48" s="1834"/>
      <c r="AE48" s="1834"/>
      <c r="AF48" s="1834"/>
      <c r="AG48" s="1834"/>
      <c r="AH48" s="1834"/>
      <c r="AI48" s="1834"/>
      <c r="AJ48" s="1834"/>
      <c r="AK48" s="1834"/>
      <c r="AL48" s="1834"/>
      <c r="AM48" s="1834"/>
      <c r="AN48" s="1835"/>
      <c r="AO48" s="63"/>
      <c r="AP48" s="63"/>
      <c r="AQ48" s="63"/>
      <c r="AR48" s="63"/>
      <c r="AS48" s="63"/>
      <c r="AT48" s="63"/>
      <c r="AU48" s="63"/>
      <c r="AV48" s="63"/>
      <c r="AW48" s="63"/>
      <c r="AX48" s="63"/>
      <c r="AY48" s="63"/>
    </row>
    <row r="49" spans="1:71" ht="33.75" customHeight="1">
      <c r="A49" s="1833"/>
      <c r="B49" s="1834"/>
      <c r="C49" s="1834"/>
      <c r="D49" s="1834"/>
      <c r="E49" s="1834"/>
      <c r="F49" s="1834"/>
      <c r="G49" s="1834"/>
      <c r="H49" s="1834"/>
      <c r="I49" s="1834"/>
      <c r="J49" s="1834"/>
      <c r="K49" s="1834"/>
      <c r="L49" s="1834"/>
      <c r="M49" s="1834"/>
      <c r="N49" s="1834"/>
      <c r="O49" s="1834"/>
      <c r="P49" s="1834"/>
      <c r="Q49" s="1834"/>
      <c r="R49" s="1834"/>
      <c r="S49" s="1834"/>
      <c r="T49" s="1834"/>
      <c r="U49" s="1834"/>
      <c r="V49" s="1834"/>
      <c r="W49" s="1834"/>
      <c r="X49" s="1834"/>
      <c r="Y49" s="1834"/>
      <c r="Z49" s="1834"/>
      <c r="AA49" s="1834"/>
      <c r="AB49" s="1834"/>
      <c r="AC49" s="1834"/>
      <c r="AD49" s="1834"/>
      <c r="AE49" s="1834"/>
      <c r="AF49" s="1834"/>
      <c r="AG49" s="1834"/>
      <c r="AH49" s="1834"/>
      <c r="AI49" s="1834"/>
      <c r="AJ49" s="1834"/>
      <c r="AK49" s="1834"/>
      <c r="AL49" s="1834"/>
      <c r="AM49" s="1834"/>
      <c r="AN49" s="1835"/>
      <c r="AO49" s="63"/>
      <c r="AP49" s="63"/>
      <c r="AQ49" s="63"/>
      <c r="AR49" s="63"/>
      <c r="AS49" s="63"/>
      <c r="AT49" s="63"/>
      <c r="AU49" s="63"/>
      <c r="AV49" s="63"/>
      <c r="AW49" s="63"/>
      <c r="AX49" s="63"/>
      <c r="AY49" s="63"/>
    </row>
    <row r="50" spans="1:71" ht="33.75" customHeight="1">
      <c r="A50" s="1833"/>
      <c r="B50" s="1834"/>
      <c r="C50" s="1834"/>
      <c r="D50" s="1834"/>
      <c r="E50" s="1834"/>
      <c r="F50" s="1834"/>
      <c r="G50" s="1834"/>
      <c r="H50" s="1834"/>
      <c r="I50" s="1834"/>
      <c r="J50" s="1834"/>
      <c r="K50" s="1834"/>
      <c r="L50" s="1834"/>
      <c r="M50" s="1834"/>
      <c r="N50" s="1834"/>
      <c r="O50" s="1834"/>
      <c r="P50" s="1834"/>
      <c r="Q50" s="1834"/>
      <c r="R50" s="1834"/>
      <c r="S50" s="1834"/>
      <c r="T50" s="1834"/>
      <c r="U50" s="1834"/>
      <c r="V50" s="1834"/>
      <c r="W50" s="1834"/>
      <c r="X50" s="1834"/>
      <c r="Y50" s="1834"/>
      <c r="Z50" s="1834"/>
      <c r="AA50" s="1834"/>
      <c r="AB50" s="1834"/>
      <c r="AC50" s="1834"/>
      <c r="AD50" s="1834"/>
      <c r="AE50" s="1834"/>
      <c r="AF50" s="1834"/>
      <c r="AG50" s="1834"/>
      <c r="AH50" s="1834"/>
      <c r="AI50" s="1834"/>
      <c r="AJ50" s="1834"/>
      <c r="AK50" s="1834"/>
      <c r="AL50" s="1834"/>
      <c r="AM50" s="1834"/>
      <c r="AN50" s="1835"/>
      <c r="AO50" s="63"/>
      <c r="AP50" s="63"/>
      <c r="AQ50" s="63"/>
      <c r="AR50" s="63"/>
      <c r="AS50" s="63"/>
      <c r="AT50" s="63"/>
      <c r="AU50" s="63"/>
      <c r="AV50" s="63"/>
      <c r="AW50" s="63"/>
      <c r="AX50" s="63"/>
      <c r="AY50" s="63"/>
    </row>
    <row r="51" spans="1:71" ht="33.75" customHeight="1">
      <c r="A51" s="1833"/>
      <c r="B51" s="1834"/>
      <c r="C51" s="1834"/>
      <c r="D51" s="1834"/>
      <c r="E51" s="1834"/>
      <c r="F51" s="1834"/>
      <c r="G51" s="1834"/>
      <c r="H51" s="1834"/>
      <c r="I51" s="1834"/>
      <c r="J51" s="1834"/>
      <c r="K51" s="1834"/>
      <c r="L51" s="1834"/>
      <c r="M51" s="1834"/>
      <c r="N51" s="1834"/>
      <c r="O51" s="1834"/>
      <c r="P51" s="1834"/>
      <c r="Q51" s="1834"/>
      <c r="R51" s="1834"/>
      <c r="S51" s="1834"/>
      <c r="T51" s="1834"/>
      <c r="U51" s="1834"/>
      <c r="V51" s="1834"/>
      <c r="W51" s="1834"/>
      <c r="X51" s="1834"/>
      <c r="Y51" s="1834"/>
      <c r="Z51" s="1834"/>
      <c r="AA51" s="1834"/>
      <c r="AB51" s="1834"/>
      <c r="AC51" s="1834"/>
      <c r="AD51" s="1834"/>
      <c r="AE51" s="1834"/>
      <c r="AF51" s="1834"/>
      <c r="AG51" s="1834"/>
      <c r="AH51" s="1834"/>
      <c r="AI51" s="1834"/>
      <c r="AJ51" s="1834"/>
      <c r="AK51" s="1834"/>
      <c r="AL51" s="1834"/>
      <c r="AM51" s="1834"/>
      <c r="AN51" s="1835"/>
      <c r="AO51" s="63"/>
      <c r="AP51" s="63"/>
      <c r="AQ51" s="63"/>
      <c r="AR51" s="63"/>
      <c r="AS51" s="63"/>
      <c r="AT51" s="63"/>
      <c r="AU51" s="63"/>
      <c r="AV51" s="63"/>
      <c r="AW51" s="63"/>
      <c r="AX51" s="63"/>
      <c r="AY51" s="63"/>
    </row>
    <row r="52" spans="1:71" ht="33.75" customHeight="1">
      <c r="A52" s="1833"/>
      <c r="B52" s="1834"/>
      <c r="C52" s="1834"/>
      <c r="D52" s="1834"/>
      <c r="E52" s="1834"/>
      <c r="F52" s="1834"/>
      <c r="G52" s="1834"/>
      <c r="H52" s="1834"/>
      <c r="I52" s="1834"/>
      <c r="J52" s="1834"/>
      <c r="K52" s="1834"/>
      <c r="L52" s="1834"/>
      <c r="M52" s="1834"/>
      <c r="N52" s="1834"/>
      <c r="O52" s="1834"/>
      <c r="P52" s="1834"/>
      <c r="Q52" s="1834"/>
      <c r="R52" s="1834"/>
      <c r="S52" s="1834"/>
      <c r="T52" s="1834"/>
      <c r="U52" s="1834"/>
      <c r="V52" s="1834"/>
      <c r="W52" s="1834"/>
      <c r="X52" s="1834"/>
      <c r="Y52" s="1834"/>
      <c r="Z52" s="1834"/>
      <c r="AA52" s="1834"/>
      <c r="AB52" s="1834"/>
      <c r="AC52" s="1834"/>
      <c r="AD52" s="1834"/>
      <c r="AE52" s="1834"/>
      <c r="AF52" s="1834"/>
      <c r="AG52" s="1834"/>
      <c r="AH52" s="1834"/>
      <c r="AI52" s="1834"/>
      <c r="AJ52" s="1834"/>
      <c r="AK52" s="1834"/>
      <c r="AL52" s="1834"/>
      <c r="AM52" s="1834"/>
      <c r="AN52" s="1835"/>
      <c r="AO52" s="63"/>
      <c r="AP52" s="63"/>
      <c r="AQ52" s="63"/>
      <c r="AR52" s="63"/>
      <c r="AS52" s="63"/>
      <c r="AT52" s="63"/>
      <c r="AU52" s="63"/>
      <c r="AV52" s="63"/>
      <c r="AW52" s="63"/>
      <c r="AX52" s="63"/>
      <c r="AY52" s="63"/>
    </row>
    <row r="53" spans="1:71" ht="33.75" customHeight="1">
      <c r="A53" s="1833"/>
      <c r="B53" s="1834"/>
      <c r="C53" s="1834"/>
      <c r="D53" s="1834"/>
      <c r="E53" s="1834"/>
      <c r="F53" s="1834"/>
      <c r="G53" s="1834"/>
      <c r="H53" s="1834"/>
      <c r="I53" s="1834"/>
      <c r="J53" s="1834"/>
      <c r="K53" s="1834"/>
      <c r="L53" s="1834"/>
      <c r="M53" s="1834"/>
      <c r="N53" s="1834"/>
      <c r="O53" s="1834"/>
      <c r="P53" s="1834"/>
      <c r="Q53" s="1834"/>
      <c r="R53" s="1834"/>
      <c r="S53" s="1834"/>
      <c r="T53" s="1834"/>
      <c r="U53" s="1834"/>
      <c r="V53" s="1834"/>
      <c r="W53" s="1834"/>
      <c r="X53" s="1834"/>
      <c r="Y53" s="1834"/>
      <c r="Z53" s="1834"/>
      <c r="AA53" s="1834"/>
      <c r="AB53" s="1834"/>
      <c r="AC53" s="1834"/>
      <c r="AD53" s="1834"/>
      <c r="AE53" s="1834"/>
      <c r="AF53" s="1834"/>
      <c r="AG53" s="1834"/>
      <c r="AH53" s="1834"/>
      <c r="AI53" s="1834"/>
      <c r="AJ53" s="1834"/>
      <c r="AK53" s="1834"/>
      <c r="AL53" s="1834"/>
      <c r="AM53" s="1834"/>
      <c r="AN53" s="1835"/>
      <c r="AO53" s="63"/>
      <c r="AP53" s="63"/>
      <c r="AQ53" s="63"/>
      <c r="AR53" s="63"/>
      <c r="AS53" s="63"/>
      <c r="AT53" s="63"/>
      <c r="AU53" s="63"/>
      <c r="AV53" s="63"/>
      <c r="AW53" s="63"/>
      <c r="AX53" s="63"/>
      <c r="AY53" s="63"/>
    </row>
    <row r="54" spans="1:71" s="413" customFormat="1" ht="33.75" customHeight="1">
      <c r="A54" s="1833"/>
      <c r="B54" s="1834"/>
      <c r="C54" s="1834"/>
      <c r="D54" s="1834"/>
      <c r="E54" s="1834"/>
      <c r="F54" s="1834"/>
      <c r="G54" s="1834"/>
      <c r="H54" s="1834"/>
      <c r="I54" s="1834"/>
      <c r="J54" s="1834"/>
      <c r="K54" s="1834"/>
      <c r="L54" s="1834"/>
      <c r="M54" s="1834"/>
      <c r="N54" s="1834"/>
      <c r="O54" s="1834"/>
      <c r="P54" s="1834"/>
      <c r="Q54" s="1834"/>
      <c r="R54" s="1834"/>
      <c r="S54" s="1834"/>
      <c r="T54" s="1834"/>
      <c r="U54" s="1834"/>
      <c r="V54" s="1834"/>
      <c r="W54" s="1834"/>
      <c r="X54" s="1834"/>
      <c r="Y54" s="1834"/>
      <c r="Z54" s="1834"/>
      <c r="AA54" s="1834"/>
      <c r="AB54" s="1834"/>
      <c r="AC54" s="1834"/>
      <c r="AD54" s="1834"/>
      <c r="AE54" s="1834"/>
      <c r="AF54" s="1834"/>
      <c r="AG54" s="1834"/>
      <c r="AH54" s="1834"/>
      <c r="AI54" s="1834"/>
      <c r="AJ54" s="1834"/>
      <c r="AK54" s="1834"/>
      <c r="AL54" s="1834"/>
      <c r="AM54" s="1834"/>
      <c r="AN54" s="1835"/>
      <c r="AO54" s="40"/>
      <c r="AP54" s="40"/>
      <c r="AQ54" s="40"/>
      <c r="AR54" s="40"/>
      <c r="AS54" s="40"/>
      <c r="AT54" s="40"/>
      <c r="AU54" s="40"/>
      <c r="AV54" s="40"/>
      <c r="AW54" s="40"/>
      <c r="AX54" s="40"/>
      <c r="AY54" s="40"/>
      <c r="AZ54" s="25"/>
      <c r="BA54" s="25"/>
      <c r="BB54" s="25"/>
      <c r="BC54" s="25"/>
      <c r="BD54" s="25"/>
      <c r="BE54" s="25"/>
      <c r="BF54" s="25"/>
      <c r="BG54" s="25"/>
      <c r="BH54" s="25"/>
      <c r="BI54" s="25"/>
      <c r="BJ54" s="25"/>
      <c r="BK54" s="25"/>
      <c r="BL54" s="25"/>
      <c r="BM54" s="25"/>
      <c r="BN54" s="25"/>
      <c r="BO54" s="25"/>
      <c r="BP54" s="25"/>
      <c r="BQ54" s="25"/>
      <c r="BR54" s="25"/>
      <c r="BS54" s="25"/>
    </row>
    <row r="55" spans="1:71" s="413" customFormat="1" ht="33.75" customHeight="1">
      <c r="A55" s="1833"/>
      <c r="B55" s="1834"/>
      <c r="C55" s="1834"/>
      <c r="D55" s="1834"/>
      <c r="E55" s="1834"/>
      <c r="F55" s="1834"/>
      <c r="G55" s="1834"/>
      <c r="H55" s="1834"/>
      <c r="I55" s="1834"/>
      <c r="J55" s="1834"/>
      <c r="K55" s="1834"/>
      <c r="L55" s="1834"/>
      <c r="M55" s="1834"/>
      <c r="N55" s="1834"/>
      <c r="O55" s="1834"/>
      <c r="P55" s="1834"/>
      <c r="Q55" s="1834"/>
      <c r="R55" s="1834"/>
      <c r="S55" s="1834"/>
      <c r="T55" s="1834"/>
      <c r="U55" s="1834"/>
      <c r="V55" s="1834"/>
      <c r="W55" s="1834"/>
      <c r="X55" s="1834"/>
      <c r="Y55" s="1834"/>
      <c r="Z55" s="1834"/>
      <c r="AA55" s="1834"/>
      <c r="AB55" s="1834"/>
      <c r="AC55" s="1834"/>
      <c r="AD55" s="1834"/>
      <c r="AE55" s="1834"/>
      <c r="AF55" s="1834"/>
      <c r="AG55" s="1834"/>
      <c r="AH55" s="1834"/>
      <c r="AI55" s="1834"/>
      <c r="AJ55" s="1834"/>
      <c r="AK55" s="1834"/>
      <c r="AL55" s="1834"/>
      <c r="AM55" s="1834"/>
      <c r="AN55" s="1835"/>
      <c r="AO55" s="40"/>
      <c r="AP55" s="40"/>
      <c r="AQ55" s="40"/>
      <c r="AR55" s="40"/>
      <c r="AS55" s="40"/>
      <c r="AT55" s="40"/>
      <c r="AU55" s="40"/>
      <c r="AV55" s="40"/>
      <c r="AW55" s="40"/>
      <c r="AX55" s="40"/>
      <c r="AY55" s="40"/>
      <c r="AZ55" s="25"/>
      <c r="BA55" s="25"/>
      <c r="BB55" s="25"/>
      <c r="BC55" s="25"/>
      <c r="BD55" s="25"/>
      <c r="BE55" s="25"/>
      <c r="BF55" s="25"/>
      <c r="BG55" s="25"/>
      <c r="BH55" s="25"/>
      <c r="BI55" s="25"/>
      <c r="BJ55" s="25"/>
      <c r="BK55" s="25"/>
      <c r="BL55" s="25"/>
      <c r="BM55" s="25"/>
      <c r="BN55" s="25"/>
      <c r="BO55" s="25"/>
      <c r="BP55" s="25"/>
      <c r="BQ55" s="25"/>
      <c r="BR55" s="25"/>
      <c r="BS55" s="25"/>
    </row>
    <row r="56" spans="1:71" s="413" customFormat="1" ht="33.75" customHeight="1">
      <c r="A56" s="1833"/>
      <c r="B56" s="1834"/>
      <c r="C56" s="1834"/>
      <c r="D56" s="1834"/>
      <c r="E56" s="1834"/>
      <c r="F56" s="1834"/>
      <c r="G56" s="1834"/>
      <c r="H56" s="1834"/>
      <c r="I56" s="1834"/>
      <c r="J56" s="1834"/>
      <c r="K56" s="1834"/>
      <c r="L56" s="1834"/>
      <c r="M56" s="1834"/>
      <c r="N56" s="1834"/>
      <c r="O56" s="1834"/>
      <c r="P56" s="1834"/>
      <c r="Q56" s="1834"/>
      <c r="R56" s="1834"/>
      <c r="S56" s="1834"/>
      <c r="T56" s="1834"/>
      <c r="U56" s="1834"/>
      <c r="V56" s="1834"/>
      <c r="W56" s="1834"/>
      <c r="X56" s="1834"/>
      <c r="Y56" s="1834"/>
      <c r="Z56" s="1834"/>
      <c r="AA56" s="1834"/>
      <c r="AB56" s="1834"/>
      <c r="AC56" s="1834"/>
      <c r="AD56" s="1834"/>
      <c r="AE56" s="1834"/>
      <c r="AF56" s="1834"/>
      <c r="AG56" s="1834"/>
      <c r="AH56" s="1834"/>
      <c r="AI56" s="1834"/>
      <c r="AJ56" s="1834"/>
      <c r="AK56" s="1834"/>
      <c r="AL56" s="1834"/>
      <c r="AM56" s="1834"/>
      <c r="AN56" s="1835"/>
      <c r="AO56" s="40"/>
      <c r="AP56" s="40"/>
      <c r="AQ56" s="40"/>
      <c r="AR56" s="40"/>
      <c r="AS56" s="40"/>
      <c r="AT56" s="40"/>
      <c r="AU56" s="40"/>
      <c r="AV56" s="40"/>
      <c r="AW56" s="40"/>
      <c r="AX56" s="40"/>
      <c r="AY56" s="40"/>
      <c r="AZ56" s="25"/>
      <c r="BA56" s="25"/>
      <c r="BB56" s="25"/>
      <c r="BC56" s="25"/>
      <c r="BD56" s="25"/>
      <c r="BE56" s="25"/>
      <c r="BF56" s="25"/>
      <c r="BG56" s="25"/>
      <c r="BH56" s="25"/>
      <c r="BI56" s="25"/>
      <c r="BJ56" s="25"/>
      <c r="BK56" s="25"/>
      <c r="BL56" s="25"/>
      <c r="BM56" s="25"/>
      <c r="BN56" s="25"/>
      <c r="BO56" s="25"/>
      <c r="BP56" s="25"/>
      <c r="BQ56" s="25"/>
      <c r="BR56" s="25"/>
      <c r="BS56" s="25"/>
    </row>
    <row r="57" spans="1:71" ht="33.75" customHeight="1">
      <c r="A57" s="1833"/>
      <c r="B57" s="1834"/>
      <c r="C57" s="1834"/>
      <c r="D57" s="1834"/>
      <c r="E57" s="1834"/>
      <c r="F57" s="1834"/>
      <c r="G57" s="1834"/>
      <c r="H57" s="1834"/>
      <c r="I57" s="1834"/>
      <c r="J57" s="1834"/>
      <c r="K57" s="1834"/>
      <c r="L57" s="1834"/>
      <c r="M57" s="1834"/>
      <c r="N57" s="1834"/>
      <c r="O57" s="1834"/>
      <c r="P57" s="1834"/>
      <c r="Q57" s="1834"/>
      <c r="R57" s="1834"/>
      <c r="S57" s="1834"/>
      <c r="T57" s="1834"/>
      <c r="U57" s="1834"/>
      <c r="V57" s="1834"/>
      <c r="W57" s="1834"/>
      <c r="X57" s="1834"/>
      <c r="Y57" s="1834"/>
      <c r="Z57" s="1834"/>
      <c r="AA57" s="1834"/>
      <c r="AB57" s="1834"/>
      <c r="AC57" s="1834"/>
      <c r="AD57" s="1834"/>
      <c r="AE57" s="1834"/>
      <c r="AF57" s="1834"/>
      <c r="AG57" s="1834"/>
      <c r="AH57" s="1834"/>
      <c r="AI57" s="1834"/>
      <c r="AJ57" s="1834"/>
      <c r="AK57" s="1834"/>
      <c r="AL57" s="1834"/>
      <c r="AM57" s="1834"/>
      <c r="AN57" s="1835"/>
      <c r="AO57" s="63"/>
      <c r="AP57" s="63"/>
      <c r="AQ57" s="63"/>
      <c r="AR57" s="63"/>
      <c r="AS57" s="63"/>
      <c r="AT57" s="63"/>
      <c r="AU57" s="63"/>
      <c r="AV57" s="63"/>
      <c r="AW57" s="63"/>
      <c r="AX57" s="63"/>
      <c r="AY57" s="63"/>
    </row>
    <row r="58" spans="1:71" ht="33.75" customHeight="1">
      <c r="A58" s="1833"/>
      <c r="B58" s="1834"/>
      <c r="C58" s="1834"/>
      <c r="D58" s="1834"/>
      <c r="E58" s="1834"/>
      <c r="F58" s="1834"/>
      <c r="G58" s="1834"/>
      <c r="H58" s="1834"/>
      <c r="I58" s="1834"/>
      <c r="J58" s="1834"/>
      <c r="K58" s="1834"/>
      <c r="L58" s="1834"/>
      <c r="M58" s="1834"/>
      <c r="N58" s="1834"/>
      <c r="O58" s="1834"/>
      <c r="P58" s="1834"/>
      <c r="Q58" s="1834"/>
      <c r="R58" s="1834"/>
      <c r="S58" s="1834"/>
      <c r="T58" s="1834"/>
      <c r="U58" s="1834"/>
      <c r="V58" s="1834"/>
      <c r="W58" s="1834"/>
      <c r="X58" s="1834"/>
      <c r="Y58" s="1834"/>
      <c r="Z58" s="1834"/>
      <c r="AA58" s="1834"/>
      <c r="AB58" s="1834"/>
      <c r="AC58" s="1834"/>
      <c r="AD58" s="1834"/>
      <c r="AE58" s="1834"/>
      <c r="AF58" s="1834"/>
      <c r="AG58" s="1834"/>
      <c r="AH58" s="1834"/>
      <c r="AI58" s="1834"/>
      <c r="AJ58" s="1834"/>
      <c r="AK58" s="1834"/>
      <c r="AL58" s="1834"/>
      <c r="AM58" s="1834"/>
      <c r="AN58" s="1835"/>
      <c r="AO58" s="63"/>
      <c r="AP58" s="63"/>
      <c r="AQ58" s="63"/>
      <c r="AR58" s="63"/>
      <c r="AS58" s="63"/>
      <c r="AT58" s="63"/>
      <c r="AU58" s="63"/>
      <c r="AV58" s="63"/>
      <c r="AW58" s="63"/>
      <c r="AX58" s="63"/>
      <c r="AY58" s="63"/>
    </row>
    <row r="59" spans="1:71" ht="33.75" customHeight="1">
      <c r="A59" s="1833"/>
      <c r="B59" s="1834"/>
      <c r="C59" s="1834"/>
      <c r="D59" s="1834"/>
      <c r="E59" s="1834"/>
      <c r="F59" s="1834"/>
      <c r="G59" s="1834"/>
      <c r="H59" s="1834"/>
      <c r="I59" s="1834"/>
      <c r="J59" s="1834"/>
      <c r="K59" s="1834"/>
      <c r="L59" s="1834"/>
      <c r="M59" s="1834"/>
      <c r="N59" s="1834"/>
      <c r="O59" s="1834"/>
      <c r="P59" s="1834"/>
      <c r="Q59" s="1834"/>
      <c r="R59" s="1834"/>
      <c r="S59" s="1834"/>
      <c r="T59" s="1834"/>
      <c r="U59" s="1834"/>
      <c r="V59" s="1834"/>
      <c r="W59" s="1834"/>
      <c r="X59" s="1834"/>
      <c r="Y59" s="1834"/>
      <c r="Z59" s="1834"/>
      <c r="AA59" s="1834"/>
      <c r="AB59" s="1834"/>
      <c r="AC59" s="1834"/>
      <c r="AD59" s="1834"/>
      <c r="AE59" s="1834"/>
      <c r="AF59" s="1834"/>
      <c r="AG59" s="1834"/>
      <c r="AH59" s="1834"/>
      <c r="AI59" s="1834"/>
      <c r="AJ59" s="1834"/>
      <c r="AK59" s="1834"/>
      <c r="AL59" s="1834"/>
      <c r="AM59" s="1834"/>
      <c r="AN59" s="1835"/>
      <c r="AO59" s="63"/>
      <c r="AP59" s="63"/>
      <c r="AQ59" s="63"/>
      <c r="AR59" s="63"/>
      <c r="AS59" s="63"/>
      <c r="AT59" s="63"/>
      <c r="AU59" s="63"/>
      <c r="AV59" s="63"/>
      <c r="AW59" s="63"/>
      <c r="AX59" s="63"/>
      <c r="AY59" s="63"/>
    </row>
    <row r="60" spans="1:71" ht="33.75" customHeight="1">
      <c r="A60" s="1833"/>
      <c r="B60" s="1834"/>
      <c r="C60" s="1834"/>
      <c r="D60" s="1834"/>
      <c r="E60" s="1834"/>
      <c r="F60" s="1834"/>
      <c r="G60" s="1834"/>
      <c r="H60" s="1834"/>
      <c r="I60" s="1834"/>
      <c r="J60" s="1834"/>
      <c r="K60" s="1834"/>
      <c r="L60" s="1834"/>
      <c r="M60" s="1834"/>
      <c r="N60" s="1834"/>
      <c r="O60" s="1834"/>
      <c r="P60" s="1834"/>
      <c r="Q60" s="1834"/>
      <c r="R60" s="1834"/>
      <c r="S60" s="1834"/>
      <c r="T60" s="1834"/>
      <c r="U60" s="1834"/>
      <c r="V60" s="1834"/>
      <c r="W60" s="1834"/>
      <c r="X60" s="1834"/>
      <c r="Y60" s="1834"/>
      <c r="Z60" s="1834"/>
      <c r="AA60" s="1834"/>
      <c r="AB60" s="1834"/>
      <c r="AC60" s="1834"/>
      <c r="AD60" s="1834"/>
      <c r="AE60" s="1834"/>
      <c r="AF60" s="1834"/>
      <c r="AG60" s="1834"/>
      <c r="AH60" s="1834"/>
      <c r="AI60" s="1834"/>
      <c r="AJ60" s="1834"/>
      <c r="AK60" s="1834"/>
      <c r="AL60" s="1834"/>
      <c r="AM60" s="1834"/>
      <c r="AN60" s="1835"/>
      <c r="AO60" s="63"/>
      <c r="AP60" s="63"/>
      <c r="AQ60" s="63"/>
      <c r="AR60" s="63"/>
      <c r="AS60" s="63"/>
      <c r="AT60" s="63"/>
      <c r="AU60" s="63"/>
      <c r="AV60" s="63"/>
      <c r="AW60" s="63"/>
      <c r="AX60" s="63"/>
      <c r="AY60" s="63"/>
    </row>
    <row r="61" spans="1:71" ht="33.75" customHeight="1">
      <c r="A61" s="1833"/>
      <c r="B61" s="1834"/>
      <c r="C61" s="1834"/>
      <c r="D61" s="1834"/>
      <c r="E61" s="1834"/>
      <c r="F61" s="1834"/>
      <c r="G61" s="1834"/>
      <c r="H61" s="1834"/>
      <c r="I61" s="1834"/>
      <c r="J61" s="1834"/>
      <c r="K61" s="1834"/>
      <c r="L61" s="1834"/>
      <c r="M61" s="1834"/>
      <c r="N61" s="1834"/>
      <c r="O61" s="1834"/>
      <c r="P61" s="1834"/>
      <c r="Q61" s="1834"/>
      <c r="R61" s="1834"/>
      <c r="S61" s="1834"/>
      <c r="T61" s="1834"/>
      <c r="U61" s="1834"/>
      <c r="V61" s="1834"/>
      <c r="W61" s="1834"/>
      <c r="X61" s="1834"/>
      <c r="Y61" s="1834"/>
      <c r="Z61" s="1834"/>
      <c r="AA61" s="1834"/>
      <c r="AB61" s="1834"/>
      <c r="AC61" s="1834"/>
      <c r="AD61" s="1834"/>
      <c r="AE61" s="1834"/>
      <c r="AF61" s="1834"/>
      <c r="AG61" s="1834"/>
      <c r="AH61" s="1834"/>
      <c r="AI61" s="1834"/>
      <c r="AJ61" s="1834"/>
      <c r="AK61" s="1834"/>
      <c r="AL61" s="1834"/>
      <c r="AM61" s="1834"/>
      <c r="AN61" s="1835"/>
      <c r="AO61" s="63"/>
      <c r="AP61" s="63"/>
      <c r="AQ61" s="63"/>
      <c r="AR61" s="63"/>
      <c r="AS61" s="63"/>
      <c r="AT61" s="63"/>
      <c r="AU61" s="63"/>
      <c r="AV61" s="63"/>
      <c r="AW61" s="63"/>
      <c r="AX61" s="63"/>
      <c r="AY61" s="63"/>
    </row>
    <row r="62" spans="1:71" ht="33.75" customHeight="1">
      <c r="A62" s="1833"/>
      <c r="B62" s="1834"/>
      <c r="C62" s="1834"/>
      <c r="D62" s="1834"/>
      <c r="E62" s="1834"/>
      <c r="F62" s="1834"/>
      <c r="G62" s="1834"/>
      <c r="H62" s="1834"/>
      <c r="I62" s="1834"/>
      <c r="J62" s="1834"/>
      <c r="K62" s="1834"/>
      <c r="L62" s="1834"/>
      <c r="M62" s="1834"/>
      <c r="N62" s="1834"/>
      <c r="O62" s="1834"/>
      <c r="P62" s="1834"/>
      <c r="Q62" s="1834"/>
      <c r="R62" s="1834"/>
      <c r="S62" s="1834"/>
      <c r="T62" s="1834"/>
      <c r="U62" s="1834"/>
      <c r="V62" s="1834"/>
      <c r="W62" s="1834"/>
      <c r="X62" s="1834"/>
      <c r="Y62" s="1834"/>
      <c r="Z62" s="1834"/>
      <c r="AA62" s="1834"/>
      <c r="AB62" s="1834"/>
      <c r="AC62" s="1834"/>
      <c r="AD62" s="1834"/>
      <c r="AE62" s="1834"/>
      <c r="AF62" s="1834"/>
      <c r="AG62" s="1834"/>
      <c r="AH62" s="1834"/>
      <c r="AI62" s="1834"/>
      <c r="AJ62" s="1834"/>
      <c r="AK62" s="1834"/>
      <c r="AL62" s="1834"/>
      <c r="AM62" s="1834"/>
      <c r="AN62" s="1835"/>
      <c r="AO62" s="63"/>
      <c r="AP62" s="63"/>
      <c r="AQ62" s="63"/>
      <c r="AR62" s="63"/>
      <c r="AS62" s="63"/>
      <c r="AT62" s="63"/>
      <c r="AU62" s="63"/>
      <c r="AV62" s="63"/>
      <c r="AW62" s="63"/>
      <c r="AX62" s="63"/>
      <c r="AY62" s="63"/>
    </row>
    <row r="63" spans="1:71" s="113" customFormat="1" ht="33.75" customHeight="1">
      <c r="A63" s="1833"/>
      <c r="B63" s="1834"/>
      <c r="C63" s="1834"/>
      <c r="D63" s="1834"/>
      <c r="E63" s="1834"/>
      <c r="F63" s="1834"/>
      <c r="G63" s="1834"/>
      <c r="H63" s="1834"/>
      <c r="I63" s="1834"/>
      <c r="J63" s="1834"/>
      <c r="K63" s="1834"/>
      <c r="L63" s="1834"/>
      <c r="M63" s="1834"/>
      <c r="N63" s="1834"/>
      <c r="O63" s="1834"/>
      <c r="P63" s="1834"/>
      <c r="Q63" s="1834"/>
      <c r="R63" s="1834"/>
      <c r="S63" s="1834"/>
      <c r="T63" s="1834"/>
      <c r="U63" s="1834"/>
      <c r="V63" s="1834"/>
      <c r="W63" s="1834"/>
      <c r="X63" s="1834"/>
      <c r="Y63" s="1834"/>
      <c r="Z63" s="1834"/>
      <c r="AA63" s="1834"/>
      <c r="AB63" s="1834"/>
      <c r="AC63" s="1834"/>
      <c r="AD63" s="1834"/>
      <c r="AE63" s="1834"/>
      <c r="AF63" s="1834"/>
      <c r="AG63" s="1834"/>
      <c r="AH63" s="1834"/>
      <c r="AI63" s="1834"/>
      <c r="AJ63" s="1834"/>
      <c r="AK63" s="1834"/>
      <c r="AL63" s="1834"/>
      <c r="AM63" s="1834"/>
      <c r="AN63" s="1835"/>
      <c r="AO63" s="63"/>
      <c r="AP63" s="63"/>
      <c r="AQ63" s="63"/>
      <c r="AR63" s="63"/>
      <c r="AS63" s="63"/>
      <c r="AT63" s="63"/>
      <c r="AU63" s="63"/>
      <c r="AV63" s="63"/>
      <c r="AW63" s="63"/>
      <c r="AX63" s="63"/>
      <c r="AY63" s="63"/>
    </row>
    <row r="64" spans="1:71" s="113" customFormat="1" ht="12.75" customHeight="1">
      <c r="A64" s="1833"/>
      <c r="B64" s="1834"/>
      <c r="C64" s="1834"/>
      <c r="D64" s="1834"/>
      <c r="E64" s="1834"/>
      <c r="F64" s="1834"/>
      <c r="G64" s="1834"/>
      <c r="H64" s="1834"/>
      <c r="I64" s="1834"/>
      <c r="J64" s="1834"/>
      <c r="K64" s="1834"/>
      <c r="L64" s="1834"/>
      <c r="M64" s="1834"/>
      <c r="N64" s="1834"/>
      <c r="O64" s="1834"/>
      <c r="P64" s="1834"/>
      <c r="Q64" s="1834"/>
      <c r="R64" s="1834"/>
      <c r="S64" s="1834"/>
      <c r="T64" s="1834"/>
      <c r="U64" s="1834"/>
      <c r="V64" s="1834"/>
      <c r="W64" s="1834"/>
      <c r="X64" s="1834"/>
      <c r="Y64" s="1834"/>
      <c r="Z64" s="1834"/>
      <c r="AA64" s="1834"/>
      <c r="AB64" s="1834"/>
      <c r="AC64" s="1834"/>
      <c r="AD64" s="1834"/>
      <c r="AE64" s="1834"/>
      <c r="AF64" s="1834"/>
      <c r="AG64" s="1834"/>
      <c r="AH64" s="1834"/>
      <c r="AI64" s="1834"/>
      <c r="AJ64" s="1834"/>
      <c r="AK64" s="1834"/>
      <c r="AL64" s="1834"/>
      <c r="AM64" s="1834"/>
      <c r="AN64" s="1835"/>
      <c r="AO64" s="63"/>
      <c r="AP64" s="63"/>
      <c r="AQ64" s="63"/>
      <c r="AR64" s="63"/>
      <c r="AS64" s="63"/>
      <c r="AT64" s="63"/>
      <c r="AU64" s="63"/>
      <c r="AV64" s="63"/>
      <c r="AW64" s="63"/>
      <c r="AX64" s="63"/>
      <c r="AY64" s="63"/>
    </row>
    <row r="65" spans="1:51" s="113" customFormat="1" ht="15" customHeight="1" thickBot="1">
      <c r="A65" s="1842"/>
      <c r="B65" s="1843"/>
      <c r="C65" s="1843"/>
      <c r="D65" s="1843"/>
      <c r="E65" s="1843"/>
      <c r="F65" s="1843"/>
      <c r="G65" s="1843"/>
      <c r="H65" s="1843"/>
      <c r="I65" s="1843"/>
      <c r="J65" s="1843"/>
      <c r="K65" s="1843"/>
      <c r="L65" s="1843"/>
      <c r="M65" s="1843"/>
      <c r="N65" s="1843"/>
      <c r="O65" s="1843"/>
      <c r="P65" s="1843"/>
      <c r="Q65" s="1843"/>
      <c r="R65" s="1843"/>
      <c r="S65" s="1843"/>
      <c r="T65" s="1843"/>
      <c r="U65" s="1843"/>
      <c r="V65" s="1843"/>
      <c r="W65" s="1843"/>
      <c r="X65" s="1843"/>
      <c r="Y65" s="1843"/>
      <c r="Z65" s="1843"/>
      <c r="AA65" s="1843"/>
      <c r="AB65" s="1843"/>
      <c r="AC65" s="1843"/>
      <c r="AD65" s="1843"/>
      <c r="AE65" s="1843"/>
      <c r="AF65" s="1843"/>
      <c r="AG65" s="1843"/>
      <c r="AH65" s="1843"/>
      <c r="AI65" s="1843"/>
      <c r="AJ65" s="1843"/>
      <c r="AK65" s="1843"/>
      <c r="AL65" s="1843"/>
      <c r="AM65" s="1843"/>
      <c r="AN65" s="1844"/>
      <c r="AO65" s="63"/>
      <c r="AP65" s="63"/>
      <c r="AQ65" s="63"/>
      <c r="AR65" s="63"/>
      <c r="AS65" s="63"/>
      <c r="AT65" s="63"/>
      <c r="AU65" s="63"/>
      <c r="AV65" s="63"/>
      <c r="AW65" s="63"/>
      <c r="AX65" s="63"/>
      <c r="AY65" s="63"/>
    </row>
    <row r="66" spans="1:51" s="113" customFormat="1" ht="11.25" customHeight="1">
      <c r="A66" s="591"/>
      <c r="B66" s="591"/>
      <c r="C66" s="591"/>
      <c r="D66" s="591"/>
      <c r="E66" s="591"/>
      <c r="F66" s="591"/>
      <c r="G66" s="591"/>
      <c r="H66" s="591"/>
      <c r="I66" s="591"/>
      <c r="J66" s="591"/>
      <c r="K66" s="591"/>
      <c r="L66" s="591"/>
      <c r="M66" s="591"/>
      <c r="N66" s="591"/>
      <c r="O66" s="591"/>
      <c r="P66" s="591"/>
      <c r="Q66" s="591"/>
      <c r="R66" s="591"/>
      <c r="S66" s="591"/>
      <c r="T66" s="591"/>
      <c r="U66" s="591"/>
      <c r="V66" s="591"/>
      <c r="W66" s="591"/>
      <c r="X66" s="591"/>
      <c r="Y66" s="591"/>
      <c r="Z66" s="591"/>
      <c r="AA66" s="591"/>
      <c r="AB66" s="591"/>
      <c r="AC66" s="591"/>
      <c r="AD66" s="591"/>
      <c r="AE66" s="591"/>
      <c r="AF66" s="591"/>
      <c r="AG66" s="591"/>
      <c r="AH66" s="591"/>
      <c r="AI66" s="591"/>
      <c r="AJ66" s="591"/>
      <c r="AK66" s="591"/>
      <c r="AL66" s="591"/>
      <c r="AM66" s="591"/>
      <c r="AN66" s="591"/>
      <c r="AO66" s="63"/>
      <c r="AP66" s="63"/>
      <c r="AQ66" s="63"/>
      <c r="AR66" s="63"/>
      <c r="AS66" s="63"/>
      <c r="AT66" s="63"/>
      <c r="AU66" s="63"/>
      <c r="AV66" s="63"/>
      <c r="AW66" s="63"/>
      <c r="AX66" s="63"/>
      <c r="AY66" s="63"/>
    </row>
    <row r="67" spans="1:51" s="113" customFormat="1" ht="11.25" customHeight="1">
      <c r="A67" s="591"/>
      <c r="B67" s="591"/>
      <c r="C67" s="591"/>
      <c r="D67" s="591"/>
      <c r="E67" s="591"/>
      <c r="F67" s="591"/>
      <c r="G67" s="591"/>
      <c r="H67" s="591"/>
      <c r="I67" s="591"/>
      <c r="J67" s="591"/>
      <c r="K67" s="591"/>
      <c r="L67" s="591"/>
      <c r="M67" s="591"/>
      <c r="N67" s="591"/>
      <c r="O67" s="591"/>
      <c r="P67" s="591"/>
      <c r="Q67" s="591"/>
      <c r="R67" s="591"/>
      <c r="S67" s="591"/>
      <c r="T67" s="591"/>
      <c r="U67" s="591"/>
      <c r="V67" s="591"/>
      <c r="W67" s="591"/>
      <c r="X67" s="591"/>
      <c r="Y67" s="591"/>
      <c r="Z67" s="591"/>
      <c r="AA67" s="591"/>
      <c r="AB67" s="591"/>
      <c r="AC67" s="591"/>
      <c r="AD67" s="591"/>
      <c r="AE67" s="591"/>
      <c r="AF67" s="591"/>
      <c r="AG67" s="591"/>
      <c r="AH67" s="591"/>
      <c r="AI67" s="591"/>
      <c r="AJ67" s="591"/>
      <c r="AK67" s="591"/>
      <c r="AL67" s="591"/>
      <c r="AM67" s="591"/>
      <c r="AN67" s="591"/>
      <c r="AO67" s="63"/>
      <c r="AP67" s="63"/>
      <c r="AQ67" s="63"/>
      <c r="AR67" s="63"/>
      <c r="AS67" s="63"/>
      <c r="AT67" s="63"/>
      <c r="AU67" s="63"/>
      <c r="AV67" s="63"/>
      <c r="AW67" s="63"/>
      <c r="AX67" s="63"/>
      <c r="AY67" s="63"/>
    </row>
    <row r="68" spans="1:51" s="113" customFormat="1" ht="11.25" customHeight="1">
      <c r="A68" s="591"/>
      <c r="B68" s="591"/>
      <c r="C68" s="591"/>
      <c r="D68" s="591"/>
      <c r="E68" s="591"/>
      <c r="F68" s="591"/>
      <c r="G68" s="591"/>
      <c r="H68" s="591"/>
      <c r="I68" s="591"/>
      <c r="J68" s="591"/>
      <c r="K68" s="591"/>
      <c r="L68" s="591"/>
      <c r="M68" s="591"/>
      <c r="N68" s="591"/>
      <c r="O68" s="591"/>
      <c r="P68" s="591"/>
      <c r="Q68" s="591"/>
      <c r="R68" s="591"/>
      <c r="S68" s="591"/>
      <c r="T68" s="591"/>
      <c r="U68" s="591"/>
      <c r="V68" s="591"/>
      <c r="W68" s="591"/>
      <c r="X68" s="591"/>
      <c r="Y68" s="591"/>
      <c r="Z68" s="591"/>
      <c r="AA68" s="591"/>
      <c r="AB68" s="591"/>
      <c r="AC68" s="591"/>
      <c r="AD68" s="591"/>
      <c r="AE68" s="591"/>
      <c r="AF68" s="591"/>
      <c r="AG68" s="591"/>
      <c r="AH68" s="591"/>
      <c r="AI68" s="591"/>
      <c r="AJ68" s="591"/>
      <c r="AK68" s="591"/>
      <c r="AL68" s="591"/>
      <c r="AM68" s="591"/>
      <c r="AN68" s="591"/>
      <c r="AO68" s="63"/>
      <c r="AP68" s="63"/>
      <c r="AQ68" s="63"/>
      <c r="AR68" s="63"/>
      <c r="AS68" s="63"/>
      <c r="AT68" s="63"/>
      <c r="AU68" s="63"/>
      <c r="AV68" s="63"/>
      <c r="AW68" s="63"/>
      <c r="AX68" s="63"/>
      <c r="AY68" s="63"/>
    </row>
    <row r="69" spans="1:51" s="113" customFormat="1" ht="16.5" customHeight="1">
      <c r="A69" s="592"/>
      <c r="B69" s="592"/>
      <c r="C69" s="592"/>
      <c r="D69" s="592"/>
      <c r="E69" s="592"/>
      <c r="F69" s="593"/>
      <c r="G69" s="593"/>
      <c r="H69" s="593"/>
      <c r="I69" s="593"/>
      <c r="J69" s="593"/>
      <c r="K69" s="593"/>
      <c r="L69" s="593"/>
      <c r="M69" s="593"/>
      <c r="N69" s="593"/>
      <c r="O69" s="593"/>
      <c r="P69" s="593"/>
      <c r="Q69" s="593"/>
      <c r="R69" s="592"/>
      <c r="S69" s="592"/>
      <c r="T69" s="592"/>
      <c r="U69" s="592"/>
      <c r="V69" s="592"/>
      <c r="W69" s="593"/>
      <c r="X69" s="593"/>
      <c r="Y69" s="593"/>
      <c r="Z69" s="593"/>
      <c r="AA69" s="593"/>
      <c r="AB69" s="593"/>
      <c r="AC69" s="593"/>
      <c r="AD69" s="593"/>
      <c r="AE69" s="593"/>
      <c r="AF69" s="593"/>
      <c r="AG69" s="593"/>
      <c r="AH69" s="593"/>
      <c r="AI69" s="593"/>
      <c r="AJ69" s="593"/>
      <c r="AK69" s="593"/>
      <c r="AL69" s="593"/>
      <c r="AM69" s="593"/>
      <c r="AN69" s="593"/>
      <c r="AO69" s="63"/>
      <c r="AP69" s="63"/>
      <c r="AQ69" s="63"/>
      <c r="AR69" s="63"/>
      <c r="AS69" s="63"/>
      <c r="AT69" s="63"/>
      <c r="AU69" s="63"/>
      <c r="AV69" s="63"/>
      <c r="AW69" s="63"/>
      <c r="AX69" s="63"/>
      <c r="AY69" s="63"/>
    </row>
    <row r="70" spans="1:51" s="113" customFormat="1" ht="16.5" customHeight="1">
      <c r="A70" s="592"/>
      <c r="B70" s="592"/>
      <c r="C70" s="592"/>
      <c r="D70" s="592"/>
      <c r="E70" s="592"/>
      <c r="F70" s="592"/>
      <c r="G70" s="593"/>
      <c r="H70" s="593"/>
      <c r="I70" s="593"/>
      <c r="J70" s="593"/>
      <c r="K70" s="593"/>
      <c r="L70" s="593"/>
      <c r="M70" s="593"/>
      <c r="N70" s="593"/>
      <c r="O70" s="593"/>
      <c r="P70" s="593"/>
      <c r="Q70" s="593"/>
      <c r="R70" s="592"/>
      <c r="S70" s="592"/>
      <c r="T70" s="592"/>
      <c r="U70" s="594"/>
      <c r="V70" s="594"/>
      <c r="W70" s="594"/>
      <c r="X70" s="593"/>
      <c r="Y70" s="593"/>
      <c r="Z70" s="593"/>
      <c r="AA70" s="593"/>
      <c r="AB70" s="593"/>
      <c r="AC70" s="593"/>
      <c r="AD70" s="593"/>
      <c r="AE70" s="593"/>
      <c r="AF70" s="593"/>
      <c r="AG70" s="593"/>
      <c r="AH70" s="593"/>
      <c r="AI70" s="593"/>
      <c r="AJ70" s="593"/>
      <c r="AK70" s="593"/>
      <c r="AL70" s="593"/>
      <c r="AM70" s="593"/>
      <c r="AN70" s="593"/>
      <c r="AO70" s="63"/>
      <c r="AP70" s="63"/>
      <c r="AQ70" s="63"/>
      <c r="AR70" s="63"/>
      <c r="AS70" s="63"/>
      <c r="AT70" s="63"/>
      <c r="AU70" s="63"/>
      <c r="AV70" s="63"/>
      <c r="AW70" s="63"/>
      <c r="AX70" s="63"/>
      <c r="AY70" s="63"/>
    </row>
    <row r="71" spans="1:51" s="113" customFormat="1" ht="16.5" customHeight="1">
      <c r="A71" s="592"/>
      <c r="B71" s="592"/>
      <c r="C71" s="592"/>
      <c r="D71" s="592"/>
      <c r="E71" s="592"/>
      <c r="F71" s="593"/>
      <c r="G71" s="593"/>
      <c r="H71" s="593"/>
      <c r="I71" s="593"/>
      <c r="J71" s="593"/>
      <c r="K71" s="593"/>
      <c r="L71" s="593"/>
      <c r="M71" s="593"/>
      <c r="N71" s="593"/>
      <c r="O71" s="593"/>
      <c r="P71" s="593"/>
      <c r="Q71" s="593"/>
      <c r="R71" s="592"/>
      <c r="S71" s="592"/>
      <c r="T71" s="592"/>
      <c r="U71" s="592"/>
      <c r="V71" s="592"/>
      <c r="W71" s="592"/>
      <c r="X71" s="593"/>
      <c r="Y71" s="593"/>
      <c r="Z71" s="593"/>
      <c r="AA71" s="593"/>
      <c r="AB71" s="593"/>
      <c r="AC71" s="593"/>
      <c r="AD71" s="593"/>
      <c r="AE71" s="593"/>
      <c r="AF71" s="593"/>
      <c r="AG71" s="593"/>
      <c r="AH71" s="593"/>
      <c r="AI71" s="593"/>
      <c r="AJ71" s="593"/>
      <c r="AK71" s="593"/>
      <c r="AL71" s="593"/>
      <c r="AM71" s="593"/>
      <c r="AN71" s="593"/>
      <c r="AO71" s="63"/>
      <c r="AP71" s="63"/>
      <c r="AQ71" s="63"/>
      <c r="AR71" s="63"/>
      <c r="AS71" s="63"/>
      <c r="AT71" s="63"/>
      <c r="AU71" s="63"/>
      <c r="AV71" s="63"/>
      <c r="AW71" s="63"/>
      <c r="AX71" s="63"/>
      <c r="AY71" s="63"/>
    </row>
    <row r="72" spans="1:51" s="113" customFormat="1" ht="16.5" customHeight="1">
      <c r="A72" s="592"/>
      <c r="B72" s="592"/>
      <c r="C72" s="592"/>
      <c r="D72" s="592"/>
      <c r="E72" s="592"/>
      <c r="F72" s="593"/>
      <c r="G72" s="593"/>
      <c r="H72" s="593"/>
      <c r="I72" s="593"/>
      <c r="J72" s="593"/>
      <c r="K72" s="593"/>
      <c r="L72" s="593"/>
      <c r="M72" s="593"/>
      <c r="N72" s="593"/>
      <c r="O72" s="593"/>
      <c r="P72" s="593"/>
      <c r="Q72" s="593"/>
      <c r="R72" s="592"/>
      <c r="S72" s="592"/>
      <c r="T72" s="592"/>
      <c r="U72" s="592"/>
      <c r="V72" s="592"/>
      <c r="W72" s="593"/>
      <c r="X72" s="593"/>
      <c r="Y72" s="593"/>
      <c r="Z72" s="593"/>
      <c r="AA72" s="593"/>
      <c r="AB72" s="593"/>
      <c r="AC72" s="593"/>
      <c r="AD72" s="593"/>
      <c r="AE72" s="593"/>
      <c r="AF72" s="593"/>
      <c r="AG72" s="593"/>
      <c r="AH72" s="593"/>
      <c r="AI72" s="593"/>
      <c r="AJ72" s="593"/>
      <c r="AK72" s="593"/>
      <c r="AL72" s="593"/>
      <c r="AM72" s="593"/>
      <c r="AN72" s="593"/>
      <c r="AO72" s="63"/>
      <c r="AP72" s="63"/>
      <c r="AQ72" s="63"/>
      <c r="AR72" s="63"/>
      <c r="AS72" s="63"/>
      <c r="AT72" s="63"/>
      <c r="AU72" s="63"/>
      <c r="AV72" s="63"/>
      <c r="AW72" s="63"/>
      <c r="AX72" s="63"/>
      <c r="AY72" s="63"/>
    </row>
    <row r="73" spans="1:51" s="113" customFormat="1" ht="16.5" customHeight="1">
      <c r="A73" s="592"/>
      <c r="B73" s="592"/>
      <c r="C73" s="592"/>
      <c r="D73" s="592"/>
      <c r="E73" s="592"/>
      <c r="F73" s="593"/>
      <c r="G73" s="593"/>
      <c r="H73" s="593"/>
      <c r="I73" s="593"/>
      <c r="J73" s="593"/>
      <c r="K73" s="593"/>
      <c r="L73" s="593"/>
      <c r="M73" s="593"/>
      <c r="N73" s="593"/>
      <c r="O73" s="593"/>
      <c r="P73" s="593"/>
      <c r="Q73" s="593"/>
      <c r="R73" s="592"/>
      <c r="S73" s="592"/>
      <c r="T73" s="592"/>
      <c r="U73" s="592"/>
      <c r="V73" s="592"/>
      <c r="W73" s="593"/>
      <c r="X73" s="593"/>
      <c r="Y73" s="593"/>
      <c r="Z73" s="593"/>
      <c r="AA73" s="593"/>
      <c r="AB73" s="593"/>
      <c r="AC73" s="593"/>
      <c r="AD73" s="593"/>
      <c r="AE73" s="593"/>
      <c r="AF73" s="593"/>
      <c r="AG73" s="593"/>
      <c r="AH73" s="593"/>
      <c r="AI73" s="593"/>
      <c r="AJ73" s="593"/>
      <c r="AK73" s="593"/>
      <c r="AL73" s="593"/>
      <c r="AM73" s="593"/>
      <c r="AN73" s="593"/>
      <c r="AO73" s="63"/>
      <c r="AP73" s="63"/>
      <c r="AQ73" s="63"/>
      <c r="AR73" s="63"/>
      <c r="AS73" s="63"/>
      <c r="AT73" s="63"/>
      <c r="AU73" s="63"/>
      <c r="AV73" s="63"/>
      <c r="AW73" s="63"/>
      <c r="AX73" s="63"/>
      <c r="AY73" s="63"/>
    </row>
    <row r="74" spans="1:51" s="113" customFormat="1" ht="33.75" customHeight="1">
      <c r="A74" s="590"/>
      <c r="B74" s="590"/>
      <c r="C74" s="590"/>
      <c r="D74" s="590"/>
      <c r="E74" s="590"/>
      <c r="F74" s="595"/>
      <c r="G74" s="593"/>
      <c r="H74" s="590"/>
      <c r="I74" s="590"/>
      <c r="J74" s="590"/>
      <c r="K74" s="590"/>
      <c r="L74" s="593"/>
      <c r="M74" s="593"/>
      <c r="N74" s="593"/>
      <c r="O74" s="593"/>
      <c r="P74" s="593"/>
      <c r="Q74" s="593"/>
      <c r="R74" s="590"/>
      <c r="S74" s="590"/>
      <c r="T74" s="590"/>
      <c r="U74" s="590"/>
      <c r="V74" s="590"/>
      <c r="W74" s="595"/>
      <c r="X74" s="593"/>
      <c r="Y74" s="593"/>
      <c r="Z74" s="593"/>
      <c r="AA74" s="590"/>
      <c r="AB74" s="590"/>
      <c r="AC74" s="590"/>
      <c r="AD74" s="590"/>
      <c r="AE74" s="590"/>
      <c r="AF74" s="593"/>
      <c r="AG74" s="593"/>
      <c r="AH74" s="593"/>
      <c r="AI74" s="593"/>
      <c r="AJ74" s="593"/>
      <c r="AK74" s="593"/>
      <c r="AL74" s="593"/>
      <c r="AM74" s="593"/>
      <c r="AN74" s="593"/>
      <c r="AO74" s="63"/>
      <c r="AP74" s="63"/>
      <c r="AQ74" s="63"/>
      <c r="AR74" s="63"/>
      <c r="AS74" s="63"/>
      <c r="AT74" s="63"/>
      <c r="AU74" s="63"/>
      <c r="AV74" s="63"/>
      <c r="AW74" s="63"/>
      <c r="AX74" s="63"/>
      <c r="AY74" s="63"/>
    </row>
    <row r="75" spans="1:51" s="113" customFormat="1">
      <c r="A75" s="63"/>
      <c r="B75" s="63"/>
      <c r="C75" s="63"/>
      <c r="D75" s="63"/>
      <c r="E75" s="63"/>
      <c r="F75" s="63"/>
      <c r="G75" s="63"/>
      <c r="H75" s="63"/>
      <c r="I75" s="63"/>
      <c r="J75" s="63"/>
      <c r="K75" s="63"/>
      <c r="L75" s="63"/>
      <c r="M75" s="63"/>
      <c r="N75" s="63"/>
      <c r="O75" s="63"/>
      <c r="P75" s="63"/>
      <c r="Q75" s="63"/>
      <c r="R75" s="63"/>
      <c r="S75" s="63"/>
      <c r="T75" s="63"/>
      <c r="U75" s="63"/>
      <c r="V75" s="63"/>
      <c r="W75" s="63"/>
      <c r="X75" s="63"/>
      <c r="Y75" s="63"/>
      <c r="Z75" s="63"/>
      <c r="AA75" s="63"/>
      <c r="AB75" s="63"/>
      <c r="AC75" s="63"/>
      <c r="AD75" s="63"/>
      <c r="AE75" s="63"/>
      <c r="AF75" s="63"/>
      <c r="AG75" s="63"/>
      <c r="AH75" s="63"/>
      <c r="AI75" s="63"/>
      <c r="AJ75" s="63"/>
      <c r="AK75" s="63"/>
      <c r="AL75" s="63"/>
      <c r="AM75" s="63"/>
      <c r="AN75" s="63"/>
      <c r="AO75" s="63"/>
      <c r="AP75" s="63"/>
      <c r="AQ75" s="63"/>
      <c r="AR75" s="63"/>
      <c r="AS75" s="63"/>
      <c r="AT75" s="63"/>
      <c r="AU75" s="63"/>
      <c r="AV75" s="63"/>
      <c r="AW75" s="63"/>
      <c r="AX75" s="63"/>
      <c r="AY75" s="63"/>
    </row>
    <row r="76" spans="1:51" s="113" customFormat="1">
      <c r="A76" s="596"/>
      <c r="B76" s="596"/>
      <c r="C76" s="596"/>
      <c r="D76" s="596"/>
      <c r="E76" s="596"/>
      <c r="F76" s="596"/>
      <c r="G76" s="596"/>
      <c r="H76" s="596"/>
      <c r="I76" s="596"/>
      <c r="J76" s="596"/>
      <c r="K76" s="597"/>
      <c r="L76" s="597"/>
      <c r="M76" s="597"/>
      <c r="N76" s="597"/>
      <c r="O76" s="597"/>
      <c r="P76" s="597"/>
      <c r="Q76" s="596"/>
      <c r="R76" s="596"/>
      <c r="S76" s="596"/>
      <c r="T76" s="596"/>
      <c r="U76" s="596"/>
      <c r="V76" s="596"/>
      <c r="W76" s="596"/>
      <c r="X76" s="596"/>
      <c r="Y76" s="63"/>
      <c r="Z76" s="63"/>
      <c r="AA76" s="63"/>
      <c r="AB76" s="63"/>
      <c r="AC76" s="63"/>
      <c r="AD76" s="63"/>
      <c r="AE76" s="63"/>
      <c r="AF76" s="63"/>
      <c r="AG76" s="63"/>
      <c r="AH76" s="63"/>
      <c r="AI76" s="63"/>
      <c r="AJ76" s="63"/>
      <c r="AK76" s="63"/>
      <c r="AL76" s="63"/>
      <c r="AM76" s="63"/>
      <c r="AN76" s="63"/>
      <c r="AO76" s="63"/>
      <c r="AP76" s="63"/>
      <c r="AQ76" s="63"/>
      <c r="AR76" s="63"/>
      <c r="AS76" s="63"/>
      <c r="AT76" s="63"/>
      <c r="AU76" s="63"/>
      <c r="AV76" s="63"/>
      <c r="AW76" s="63"/>
      <c r="AX76" s="63"/>
      <c r="AY76" s="63"/>
    </row>
    <row r="77" spans="1:51" s="113" customFormat="1">
      <c r="A77" s="598"/>
      <c r="B77" s="598"/>
      <c r="C77" s="598"/>
      <c r="D77" s="598"/>
      <c r="E77" s="599"/>
      <c r="F77" s="599"/>
      <c r="G77" s="599"/>
      <c r="H77" s="599"/>
      <c r="I77" s="599"/>
      <c r="J77" s="599"/>
      <c r="K77" s="598"/>
      <c r="L77" s="598"/>
      <c r="M77" s="598"/>
      <c r="N77" s="598"/>
      <c r="O77" s="598"/>
      <c r="P77" s="598"/>
      <c r="Q77" s="598"/>
      <c r="R77" s="598"/>
      <c r="S77" s="598"/>
      <c r="T77" s="598"/>
      <c r="U77" s="600"/>
      <c r="V77" s="598"/>
      <c r="W77" s="598"/>
      <c r="X77" s="598"/>
      <c r="Y77" s="63"/>
      <c r="Z77" s="63"/>
      <c r="AA77" s="63"/>
      <c r="AB77" s="63"/>
      <c r="AC77" s="63"/>
      <c r="AD77" s="63"/>
      <c r="AE77" s="63"/>
      <c r="AF77" s="63"/>
      <c r="AG77" s="63"/>
      <c r="AH77" s="63"/>
      <c r="AI77" s="63"/>
      <c r="AJ77" s="63"/>
      <c r="AK77" s="63"/>
      <c r="AL77" s="63"/>
      <c r="AM77" s="63"/>
      <c r="AN77" s="63"/>
      <c r="AO77" s="63"/>
      <c r="AP77" s="63"/>
      <c r="AQ77" s="63"/>
      <c r="AR77" s="63"/>
      <c r="AS77" s="63"/>
      <c r="AT77" s="63"/>
      <c r="AU77" s="63"/>
      <c r="AV77" s="63"/>
      <c r="AW77" s="63"/>
      <c r="AX77" s="63"/>
      <c r="AY77" s="63"/>
    </row>
    <row r="78" spans="1:51" s="113" customFormat="1">
      <c r="A78" s="588"/>
      <c r="B78" s="588"/>
      <c r="C78" s="588"/>
      <c r="D78" s="588"/>
      <c r="E78" s="588"/>
      <c r="F78" s="588"/>
      <c r="G78" s="588"/>
      <c r="H78" s="588"/>
      <c r="I78" s="588"/>
      <c r="J78" s="588"/>
      <c r="K78" s="588"/>
      <c r="L78" s="588"/>
      <c r="M78" s="588"/>
      <c r="N78" s="588"/>
      <c r="O78" s="588"/>
      <c r="P78" s="588"/>
      <c r="Q78" s="588"/>
      <c r="R78" s="588"/>
      <c r="S78" s="588"/>
      <c r="T78" s="588"/>
      <c r="U78" s="601"/>
      <c r="V78" s="588"/>
      <c r="W78" s="588"/>
      <c r="X78" s="588"/>
      <c r="Y78" s="63"/>
      <c r="Z78" s="63"/>
      <c r="AA78" s="63"/>
      <c r="AB78" s="63"/>
      <c r="AC78" s="63"/>
      <c r="AD78" s="63"/>
      <c r="AE78" s="63"/>
      <c r="AF78" s="63"/>
      <c r="AG78" s="63"/>
      <c r="AH78" s="63"/>
      <c r="AI78" s="63"/>
      <c r="AJ78" s="63"/>
      <c r="AK78" s="63"/>
      <c r="AL78" s="63"/>
      <c r="AM78" s="63"/>
      <c r="AN78" s="63"/>
      <c r="AO78" s="63"/>
      <c r="AP78" s="63"/>
      <c r="AQ78" s="63"/>
      <c r="AR78" s="63"/>
      <c r="AS78" s="63"/>
      <c r="AT78" s="63"/>
      <c r="AU78" s="63"/>
      <c r="AV78" s="63"/>
      <c r="AW78" s="63"/>
      <c r="AX78" s="63"/>
      <c r="AY78" s="63"/>
    </row>
    <row r="79" spans="1:51" s="113" customFormat="1">
      <c r="A79" s="588"/>
      <c r="B79" s="588"/>
      <c r="C79" s="588"/>
      <c r="D79" s="588"/>
      <c r="E79" s="588"/>
      <c r="F79" s="588"/>
      <c r="G79" s="588"/>
      <c r="H79" s="588"/>
      <c r="I79" s="588"/>
      <c r="J79" s="588"/>
      <c r="K79" s="588"/>
      <c r="L79" s="588"/>
      <c r="M79" s="588"/>
      <c r="N79" s="588"/>
      <c r="O79" s="588"/>
      <c r="P79" s="588"/>
      <c r="Q79" s="588"/>
      <c r="R79" s="588"/>
      <c r="S79" s="588"/>
      <c r="T79" s="588"/>
      <c r="U79" s="601"/>
      <c r="V79" s="588"/>
      <c r="W79" s="588"/>
      <c r="X79" s="588"/>
      <c r="Y79" s="63"/>
      <c r="Z79" s="63"/>
      <c r="AA79" s="63"/>
      <c r="AB79" s="63"/>
      <c r="AC79" s="63"/>
      <c r="AD79" s="63"/>
      <c r="AE79" s="63"/>
      <c r="AF79" s="63"/>
      <c r="AG79" s="63"/>
      <c r="AH79" s="63"/>
      <c r="AI79" s="63"/>
      <c r="AJ79" s="63"/>
      <c r="AK79" s="63"/>
      <c r="AL79" s="63"/>
      <c r="AM79" s="63"/>
      <c r="AN79" s="63"/>
      <c r="AO79" s="63"/>
      <c r="AP79" s="63"/>
      <c r="AQ79" s="63"/>
      <c r="AR79" s="63"/>
      <c r="AS79" s="63"/>
      <c r="AT79" s="63"/>
      <c r="AU79" s="63"/>
      <c r="AV79" s="63"/>
      <c r="AW79" s="63"/>
      <c r="AX79" s="63"/>
      <c r="AY79" s="63"/>
    </row>
    <row r="80" spans="1:51" s="113" customFormat="1">
      <c r="A80" s="588"/>
      <c r="B80" s="588"/>
      <c r="C80" s="588"/>
      <c r="D80" s="588"/>
      <c r="E80" s="588"/>
      <c r="F80" s="588"/>
      <c r="G80" s="588"/>
      <c r="H80" s="588"/>
      <c r="I80" s="588"/>
      <c r="J80" s="588"/>
      <c r="K80" s="588"/>
      <c r="L80" s="588"/>
      <c r="M80" s="588"/>
      <c r="N80" s="588"/>
      <c r="O80" s="588"/>
      <c r="P80" s="588"/>
      <c r="Q80" s="588"/>
      <c r="R80" s="588"/>
      <c r="S80" s="588"/>
      <c r="T80" s="588"/>
      <c r="U80" s="601"/>
      <c r="V80" s="588"/>
      <c r="W80" s="588"/>
      <c r="X80" s="588"/>
      <c r="Y80" s="63"/>
      <c r="Z80" s="63"/>
      <c r="AA80" s="63"/>
      <c r="AB80" s="63"/>
      <c r="AC80" s="63"/>
      <c r="AD80" s="63"/>
      <c r="AE80" s="63"/>
      <c r="AF80" s="63"/>
      <c r="AG80" s="63"/>
      <c r="AH80" s="63"/>
      <c r="AI80" s="63"/>
      <c r="AJ80" s="63"/>
      <c r="AK80" s="63"/>
      <c r="AL80" s="63"/>
      <c r="AM80" s="63"/>
      <c r="AN80" s="63"/>
      <c r="AO80" s="63"/>
      <c r="AP80" s="63"/>
      <c r="AQ80" s="63"/>
      <c r="AR80" s="63"/>
      <c r="AS80" s="63"/>
      <c r="AT80" s="63"/>
      <c r="AU80" s="63"/>
      <c r="AV80" s="63"/>
      <c r="AW80" s="63"/>
      <c r="AX80" s="63"/>
      <c r="AY80" s="63"/>
    </row>
    <row r="81" spans="1:51" s="113" customFormat="1">
      <c r="A81" s="588"/>
      <c r="B81" s="588"/>
      <c r="C81" s="588"/>
      <c r="D81" s="588"/>
      <c r="E81" s="588"/>
      <c r="F81" s="588"/>
      <c r="G81" s="588"/>
      <c r="H81" s="588"/>
      <c r="I81" s="588"/>
      <c r="J81" s="588"/>
      <c r="K81" s="588"/>
      <c r="L81" s="588"/>
      <c r="M81" s="588"/>
      <c r="N81" s="588"/>
      <c r="O81" s="588"/>
      <c r="P81" s="588"/>
      <c r="Q81" s="588"/>
      <c r="R81" s="588"/>
      <c r="S81" s="588"/>
      <c r="T81" s="588"/>
      <c r="U81" s="601"/>
      <c r="V81" s="588"/>
      <c r="W81" s="588"/>
      <c r="X81" s="588"/>
      <c r="Y81" s="63"/>
      <c r="Z81" s="63"/>
      <c r="AA81" s="63"/>
      <c r="AB81" s="63"/>
      <c r="AC81" s="63"/>
      <c r="AD81" s="63"/>
      <c r="AE81" s="63"/>
      <c r="AF81" s="63"/>
      <c r="AG81" s="63"/>
      <c r="AH81" s="63"/>
      <c r="AI81" s="63"/>
      <c r="AJ81" s="63"/>
      <c r="AK81" s="63"/>
      <c r="AL81" s="63"/>
      <c r="AM81" s="63"/>
      <c r="AN81" s="63"/>
      <c r="AO81" s="63"/>
      <c r="AP81" s="63"/>
      <c r="AQ81" s="63"/>
      <c r="AR81" s="63"/>
      <c r="AS81" s="63"/>
      <c r="AT81" s="63"/>
      <c r="AU81" s="63"/>
      <c r="AV81" s="63"/>
      <c r="AW81" s="63"/>
      <c r="AX81" s="63"/>
      <c r="AY81" s="63"/>
    </row>
    <row r="82" spans="1:51" s="113" customFormat="1">
      <c r="A82" s="588"/>
      <c r="B82" s="588"/>
      <c r="C82" s="588"/>
      <c r="D82" s="588"/>
      <c r="E82" s="588"/>
      <c r="F82" s="588"/>
      <c r="G82" s="588"/>
      <c r="H82" s="588"/>
      <c r="I82" s="588"/>
      <c r="J82" s="588"/>
      <c r="K82" s="588"/>
      <c r="L82" s="588"/>
      <c r="M82" s="588"/>
      <c r="N82" s="588"/>
      <c r="O82" s="588"/>
      <c r="P82" s="588"/>
      <c r="Q82" s="588"/>
      <c r="R82" s="588"/>
      <c r="S82" s="588"/>
      <c r="T82" s="588"/>
      <c r="U82" s="601"/>
      <c r="V82" s="588"/>
      <c r="W82" s="588"/>
      <c r="X82" s="588"/>
      <c r="Y82" s="63"/>
      <c r="Z82" s="63"/>
      <c r="AA82" s="63"/>
      <c r="AB82" s="63"/>
      <c r="AC82" s="63"/>
      <c r="AD82" s="63"/>
      <c r="AE82" s="63"/>
      <c r="AF82" s="63"/>
      <c r="AG82" s="63"/>
      <c r="AH82" s="63"/>
      <c r="AI82" s="63"/>
      <c r="AJ82" s="63"/>
      <c r="AK82" s="63"/>
      <c r="AL82" s="63"/>
      <c r="AM82" s="63"/>
      <c r="AN82" s="63"/>
      <c r="AO82" s="63"/>
      <c r="AP82" s="63"/>
      <c r="AQ82" s="63"/>
      <c r="AR82" s="63"/>
      <c r="AS82" s="63"/>
      <c r="AT82" s="63"/>
      <c r="AU82" s="63"/>
      <c r="AV82" s="63"/>
      <c r="AW82" s="63"/>
      <c r="AX82" s="63"/>
      <c r="AY82" s="63"/>
    </row>
    <row r="83" spans="1:51" s="113" customFormat="1">
      <c r="A83" s="588"/>
      <c r="B83" s="588"/>
      <c r="C83" s="588"/>
      <c r="D83" s="588"/>
      <c r="E83" s="588"/>
      <c r="F83" s="588"/>
      <c r="G83" s="588"/>
      <c r="H83" s="588"/>
      <c r="I83" s="588"/>
      <c r="J83" s="588"/>
      <c r="K83" s="588"/>
      <c r="L83" s="588"/>
      <c r="M83" s="588"/>
      <c r="N83" s="588"/>
      <c r="O83" s="588"/>
      <c r="P83" s="588"/>
      <c r="Q83" s="588"/>
      <c r="R83" s="588"/>
      <c r="S83" s="588"/>
      <c r="T83" s="588"/>
      <c r="U83" s="601"/>
      <c r="V83" s="588"/>
      <c r="W83" s="588"/>
      <c r="X83" s="588"/>
      <c r="Y83" s="63"/>
      <c r="Z83" s="63"/>
      <c r="AA83" s="63"/>
      <c r="AB83" s="63"/>
      <c r="AC83" s="63"/>
      <c r="AD83" s="63"/>
      <c r="AE83" s="63"/>
      <c r="AF83" s="63"/>
      <c r="AG83" s="63"/>
      <c r="AH83" s="63"/>
      <c r="AI83" s="63"/>
      <c r="AJ83" s="63"/>
      <c r="AK83" s="63"/>
      <c r="AL83" s="63"/>
      <c r="AM83" s="63"/>
      <c r="AN83" s="63"/>
      <c r="AO83" s="63"/>
      <c r="AP83" s="63"/>
      <c r="AQ83" s="63"/>
      <c r="AR83" s="63"/>
      <c r="AS83" s="63"/>
      <c r="AT83" s="63"/>
      <c r="AU83" s="63"/>
      <c r="AV83" s="63"/>
      <c r="AW83" s="63"/>
      <c r="AX83" s="63"/>
      <c r="AY83" s="63"/>
    </row>
    <row r="84" spans="1:51" s="113" customFormat="1">
      <c r="A84" s="588"/>
      <c r="B84" s="588"/>
      <c r="C84" s="588"/>
      <c r="D84" s="588"/>
      <c r="E84" s="588"/>
      <c r="F84" s="588"/>
      <c r="G84" s="588"/>
      <c r="H84" s="588"/>
      <c r="I84" s="588"/>
      <c r="J84" s="588"/>
      <c r="K84" s="588"/>
      <c r="L84" s="588"/>
      <c r="M84" s="588"/>
      <c r="N84" s="588"/>
      <c r="O84" s="588"/>
      <c r="P84" s="588"/>
      <c r="Q84" s="588"/>
      <c r="R84" s="588"/>
      <c r="S84" s="588"/>
      <c r="T84" s="588"/>
      <c r="U84" s="601"/>
      <c r="V84" s="588"/>
      <c r="W84" s="588"/>
      <c r="X84" s="588"/>
      <c r="Y84" s="63"/>
      <c r="Z84" s="63"/>
      <c r="AA84" s="63"/>
      <c r="AB84" s="63"/>
      <c r="AC84" s="63"/>
      <c r="AD84" s="63"/>
      <c r="AE84" s="63"/>
      <c r="AF84" s="63"/>
      <c r="AG84" s="63"/>
      <c r="AH84" s="63"/>
      <c r="AI84" s="63"/>
      <c r="AJ84" s="63"/>
      <c r="AK84" s="63"/>
      <c r="AL84" s="63"/>
      <c r="AM84" s="63"/>
      <c r="AN84" s="63"/>
      <c r="AO84" s="63"/>
      <c r="AP84" s="63"/>
      <c r="AQ84" s="63"/>
      <c r="AR84" s="63"/>
      <c r="AS84" s="63"/>
      <c r="AT84" s="63"/>
      <c r="AU84" s="63"/>
      <c r="AV84" s="63"/>
      <c r="AW84" s="63"/>
      <c r="AX84" s="63"/>
      <c r="AY84" s="63"/>
    </row>
    <row r="85" spans="1:51" s="113" customFormat="1">
      <c r="A85" s="588"/>
      <c r="B85" s="588"/>
      <c r="C85" s="588"/>
      <c r="D85" s="588"/>
      <c r="E85" s="588"/>
      <c r="F85" s="588"/>
      <c r="G85" s="588"/>
      <c r="H85" s="588"/>
      <c r="I85" s="588"/>
      <c r="J85" s="588"/>
      <c r="K85" s="588"/>
      <c r="L85" s="588"/>
      <c r="M85" s="588"/>
      <c r="N85" s="588"/>
      <c r="O85" s="588"/>
      <c r="P85" s="588"/>
      <c r="Q85" s="588"/>
      <c r="R85" s="588"/>
      <c r="S85" s="588"/>
      <c r="T85" s="588"/>
      <c r="U85" s="601"/>
      <c r="V85" s="588"/>
      <c r="W85" s="588"/>
      <c r="X85" s="588"/>
      <c r="Y85" s="63"/>
      <c r="Z85" s="63"/>
      <c r="AA85" s="63"/>
      <c r="AB85" s="63"/>
      <c r="AC85" s="63"/>
      <c r="AD85" s="63"/>
      <c r="AE85" s="63"/>
      <c r="AF85" s="63"/>
      <c r="AG85" s="63"/>
      <c r="AH85" s="63"/>
      <c r="AI85" s="63"/>
      <c r="AJ85" s="63"/>
      <c r="AK85" s="63"/>
      <c r="AL85" s="63"/>
      <c r="AM85" s="63"/>
      <c r="AN85" s="63"/>
      <c r="AO85" s="63"/>
      <c r="AP85" s="63"/>
      <c r="AQ85" s="63"/>
      <c r="AR85" s="63"/>
      <c r="AS85" s="63"/>
      <c r="AT85" s="63"/>
      <c r="AU85" s="63"/>
      <c r="AV85" s="63"/>
      <c r="AW85" s="63"/>
      <c r="AX85" s="63"/>
      <c r="AY85" s="63"/>
    </row>
    <row r="86" spans="1:51" s="113" customFormat="1">
      <c r="A86" s="588"/>
      <c r="B86" s="588"/>
      <c r="C86" s="588"/>
      <c r="D86" s="588"/>
      <c r="E86" s="588"/>
      <c r="F86" s="588"/>
      <c r="G86" s="588"/>
      <c r="H86" s="588"/>
      <c r="I86" s="588"/>
      <c r="J86" s="588"/>
      <c r="K86" s="588"/>
      <c r="L86" s="588"/>
      <c r="M86" s="588"/>
      <c r="N86" s="588"/>
      <c r="O86" s="588"/>
      <c r="P86" s="588"/>
      <c r="Q86" s="588"/>
      <c r="R86" s="588"/>
      <c r="S86" s="588"/>
      <c r="T86" s="588"/>
      <c r="U86" s="601"/>
      <c r="V86" s="588"/>
      <c r="W86" s="588"/>
      <c r="X86" s="588"/>
      <c r="Y86" s="63"/>
      <c r="Z86" s="63"/>
      <c r="AA86" s="63"/>
      <c r="AB86" s="63"/>
      <c r="AC86" s="63"/>
      <c r="AD86" s="63"/>
      <c r="AE86" s="63"/>
      <c r="AF86" s="63"/>
      <c r="AG86" s="63"/>
      <c r="AH86" s="63"/>
      <c r="AI86" s="63"/>
      <c r="AJ86" s="63"/>
      <c r="AK86" s="63"/>
      <c r="AL86" s="63"/>
      <c r="AM86" s="63"/>
      <c r="AN86" s="63"/>
      <c r="AO86" s="63"/>
      <c r="AP86" s="63"/>
      <c r="AQ86" s="63"/>
      <c r="AR86" s="63"/>
      <c r="AS86" s="63"/>
      <c r="AT86" s="63"/>
      <c r="AU86" s="63"/>
      <c r="AV86" s="63"/>
      <c r="AW86" s="63"/>
      <c r="AX86" s="63"/>
      <c r="AY86" s="63"/>
    </row>
    <row r="87" spans="1:51" s="113" customFormat="1">
      <c r="A87" s="588"/>
      <c r="B87" s="588"/>
      <c r="C87" s="588"/>
      <c r="D87" s="588"/>
      <c r="E87" s="588"/>
      <c r="F87" s="588"/>
      <c r="G87" s="588"/>
      <c r="H87" s="588"/>
      <c r="I87" s="588"/>
      <c r="J87" s="588"/>
      <c r="K87" s="588"/>
      <c r="L87" s="588"/>
      <c r="M87" s="588"/>
      <c r="N87" s="588"/>
      <c r="O87" s="588"/>
      <c r="P87" s="588"/>
      <c r="Q87" s="588"/>
      <c r="R87" s="588"/>
      <c r="S87" s="588"/>
      <c r="T87" s="588"/>
      <c r="U87" s="601"/>
      <c r="V87" s="588"/>
      <c r="W87" s="588"/>
      <c r="X87" s="588"/>
      <c r="Y87" s="63"/>
      <c r="Z87" s="63"/>
      <c r="AA87" s="63"/>
      <c r="AB87" s="63"/>
      <c r="AC87" s="63"/>
      <c r="AD87" s="63"/>
      <c r="AE87" s="63"/>
      <c r="AF87" s="63"/>
      <c r="AG87" s="63"/>
      <c r="AH87" s="63"/>
      <c r="AI87" s="63"/>
      <c r="AJ87" s="63"/>
      <c r="AK87" s="63"/>
      <c r="AL87" s="63"/>
      <c r="AM87" s="63"/>
      <c r="AN87" s="63"/>
      <c r="AO87" s="63"/>
      <c r="AP87" s="63"/>
      <c r="AQ87" s="63"/>
      <c r="AR87" s="63"/>
      <c r="AS87" s="63"/>
      <c r="AT87" s="63"/>
      <c r="AU87" s="63"/>
      <c r="AV87" s="63"/>
      <c r="AW87" s="63"/>
      <c r="AX87" s="63"/>
      <c r="AY87" s="63"/>
    </row>
    <row r="88" spans="1:51" s="113" customFormat="1">
      <c r="A88" s="588"/>
      <c r="B88" s="588"/>
      <c r="C88" s="588"/>
      <c r="D88" s="588"/>
      <c r="E88" s="588"/>
      <c r="F88" s="588"/>
      <c r="G88" s="588"/>
      <c r="H88" s="588"/>
      <c r="I88" s="588"/>
      <c r="J88" s="588"/>
      <c r="K88" s="588"/>
      <c r="L88" s="588"/>
      <c r="M88" s="588"/>
      <c r="N88" s="588"/>
      <c r="O88" s="588"/>
      <c r="P88" s="588"/>
      <c r="Q88" s="588"/>
      <c r="R88" s="588"/>
      <c r="S88" s="588"/>
      <c r="T88" s="588"/>
      <c r="U88" s="601"/>
      <c r="V88" s="588"/>
      <c r="W88" s="588"/>
      <c r="X88" s="588"/>
      <c r="Y88" s="63"/>
      <c r="Z88" s="63"/>
      <c r="AA88" s="63"/>
      <c r="AB88" s="63"/>
      <c r="AC88" s="63"/>
      <c r="AD88" s="63"/>
      <c r="AE88" s="63"/>
      <c r="AF88" s="63"/>
      <c r="AG88" s="63"/>
      <c r="AH88" s="63"/>
      <c r="AI88" s="63"/>
      <c r="AJ88" s="63"/>
      <c r="AK88" s="63"/>
      <c r="AL88" s="63"/>
      <c r="AM88" s="63"/>
      <c r="AN88" s="63"/>
      <c r="AO88" s="63"/>
      <c r="AP88" s="63"/>
      <c r="AQ88" s="63"/>
      <c r="AR88" s="63"/>
      <c r="AS88" s="63"/>
      <c r="AT88" s="63"/>
      <c r="AU88" s="63"/>
      <c r="AV88" s="63"/>
      <c r="AW88" s="63"/>
      <c r="AX88" s="63"/>
      <c r="AY88" s="63"/>
    </row>
    <row r="89" spans="1:51" s="113" customFormat="1">
      <c r="A89" s="588"/>
      <c r="B89" s="588"/>
      <c r="C89" s="588"/>
      <c r="D89" s="588"/>
      <c r="E89" s="588"/>
      <c r="F89" s="588"/>
      <c r="G89" s="588"/>
      <c r="H89" s="588"/>
      <c r="I89" s="588"/>
      <c r="J89" s="588"/>
      <c r="K89" s="588"/>
      <c r="L89" s="588"/>
      <c r="M89" s="588"/>
      <c r="N89" s="588"/>
      <c r="O89" s="588"/>
      <c r="P89" s="588"/>
      <c r="Q89" s="588"/>
      <c r="R89" s="588"/>
      <c r="S89" s="588"/>
      <c r="T89" s="588"/>
      <c r="U89" s="601"/>
      <c r="V89" s="588"/>
      <c r="W89" s="588"/>
      <c r="X89" s="588"/>
      <c r="Y89" s="63"/>
      <c r="Z89" s="63"/>
      <c r="AA89" s="63"/>
      <c r="AB89" s="63"/>
      <c r="AC89" s="63"/>
      <c r="AD89" s="63"/>
      <c r="AE89" s="63"/>
      <c r="AF89" s="63"/>
      <c r="AG89" s="63"/>
      <c r="AH89" s="63"/>
      <c r="AI89" s="63"/>
      <c r="AJ89" s="63"/>
      <c r="AK89" s="63"/>
      <c r="AL89" s="63"/>
      <c r="AM89" s="63"/>
      <c r="AN89" s="63"/>
      <c r="AO89" s="63"/>
      <c r="AP89" s="63"/>
      <c r="AQ89" s="63"/>
      <c r="AR89" s="63"/>
      <c r="AS89" s="63"/>
      <c r="AT89" s="63"/>
      <c r="AU89" s="63"/>
      <c r="AV89" s="63"/>
      <c r="AW89" s="63"/>
      <c r="AX89" s="63"/>
      <c r="AY89" s="63"/>
    </row>
    <row r="90" spans="1:51" s="113" customFormat="1">
      <c r="A90" s="588"/>
      <c r="B90" s="588"/>
      <c r="C90" s="588"/>
      <c r="D90" s="588"/>
      <c r="E90" s="588"/>
      <c r="F90" s="588"/>
      <c r="G90" s="588"/>
      <c r="H90" s="588"/>
      <c r="I90" s="588"/>
      <c r="J90" s="588"/>
      <c r="K90" s="588"/>
      <c r="L90" s="588"/>
      <c r="M90" s="588"/>
      <c r="N90" s="588"/>
      <c r="O90" s="588"/>
      <c r="P90" s="588"/>
      <c r="Q90" s="588"/>
      <c r="R90" s="588"/>
      <c r="S90" s="588"/>
      <c r="T90" s="588"/>
      <c r="U90" s="601"/>
      <c r="V90" s="588"/>
      <c r="W90" s="588"/>
      <c r="X90" s="588"/>
      <c r="Y90" s="63"/>
      <c r="Z90" s="63"/>
      <c r="AA90" s="63"/>
      <c r="AB90" s="63"/>
      <c r="AC90" s="63"/>
      <c r="AD90" s="63"/>
      <c r="AE90" s="63"/>
      <c r="AF90" s="63"/>
      <c r="AG90" s="63"/>
      <c r="AH90" s="63"/>
      <c r="AI90" s="63"/>
      <c r="AJ90" s="63"/>
      <c r="AK90" s="63"/>
      <c r="AL90" s="63"/>
      <c r="AM90" s="63"/>
      <c r="AN90" s="63"/>
      <c r="AO90" s="63"/>
      <c r="AP90" s="63"/>
      <c r="AQ90" s="63"/>
      <c r="AR90" s="63"/>
      <c r="AS90" s="63"/>
      <c r="AT90" s="63"/>
      <c r="AU90" s="63"/>
      <c r="AV90" s="63"/>
      <c r="AW90" s="63"/>
      <c r="AX90" s="63"/>
      <c r="AY90" s="63"/>
    </row>
    <row r="91" spans="1:51" s="113" customFormat="1">
      <c r="A91" s="588"/>
      <c r="B91" s="588"/>
      <c r="C91" s="588"/>
      <c r="D91" s="588"/>
      <c r="E91" s="588"/>
      <c r="F91" s="588"/>
      <c r="G91" s="588"/>
      <c r="H91" s="588"/>
      <c r="I91" s="588"/>
      <c r="J91" s="588"/>
      <c r="K91" s="588"/>
      <c r="L91" s="588"/>
      <c r="M91" s="588"/>
      <c r="N91" s="588"/>
      <c r="O91" s="588"/>
      <c r="P91" s="588"/>
      <c r="Q91" s="588"/>
      <c r="R91" s="588"/>
      <c r="S91" s="588"/>
      <c r="T91" s="588"/>
      <c r="U91" s="601"/>
      <c r="V91" s="588"/>
      <c r="W91" s="588"/>
      <c r="X91" s="588"/>
      <c r="Y91" s="63"/>
      <c r="Z91" s="63"/>
      <c r="AA91" s="63"/>
      <c r="AB91" s="63"/>
      <c r="AC91" s="63"/>
      <c r="AD91" s="63"/>
      <c r="AE91" s="63"/>
      <c r="AF91" s="63"/>
      <c r="AG91" s="63"/>
      <c r="AH91" s="63"/>
      <c r="AI91" s="63"/>
      <c r="AJ91" s="63"/>
      <c r="AK91" s="63"/>
      <c r="AL91" s="63"/>
      <c r="AM91" s="63"/>
      <c r="AN91" s="63"/>
      <c r="AO91" s="63"/>
      <c r="AP91" s="63"/>
      <c r="AQ91" s="63"/>
      <c r="AR91" s="63"/>
      <c r="AS91" s="63"/>
      <c r="AT91" s="63"/>
      <c r="AU91" s="63"/>
      <c r="AV91" s="63"/>
      <c r="AW91" s="63"/>
      <c r="AX91" s="63"/>
      <c r="AY91" s="63"/>
    </row>
    <row r="92" spans="1:51" s="113" customFormat="1">
      <c r="A92" s="588"/>
      <c r="B92" s="588"/>
      <c r="C92" s="588"/>
      <c r="D92" s="588"/>
      <c r="E92" s="588"/>
      <c r="F92" s="588"/>
      <c r="G92" s="588"/>
      <c r="H92" s="588"/>
      <c r="I92" s="588"/>
      <c r="J92" s="588"/>
      <c r="K92" s="588"/>
      <c r="L92" s="588"/>
      <c r="M92" s="588"/>
      <c r="N92" s="588"/>
      <c r="O92" s="588"/>
      <c r="P92" s="588"/>
      <c r="Q92" s="588"/>
      <c r="R92" s="588"/>
      <c r="S92" s="588"/>
      <c r="T92" s="588"/>
      <c r="U92" s="601"/>
      <c r="V92" s="588"/>
      <c r="W92" s="588"/>
      <c r="X92" s="588"/>
      <c r="Y92" s="63"/>
      <c r="Z92" s="63"/>
      <c r="AA92" s="63"/>
      <c r="AB92" s="63"/>
      <c r="AC92" s="63"/>
      <c r="AD92" s="63"/>
      <c r="AE92" s="63"/>
      <c r="AF92" s="63"/>
      <c r="AG92" s="63"/>
      <c r="AH92" s="63"/>
      <c r="AI92" s="63"/>
      <c r="AJ92" s="63"/>
      <c r="AK92" s="63"/>
      <c r="AL92" s="63"/>
      <c r="AM92" s="63"/>
      <c r="AN92" s="63"/>
      <c r="AO92" s="63"/>
      <c r="AP92" s="63"/>
      <c r="AQ92" s="63"/>
      <c r="AR92" s="63"/>
      <c r="AS92" s="63"/>
      <c r="AT92" s="63"/>
      <c r="AU92" s="63"/>
      <c r="AV92" s="63"/>
      <c r="AW92" s="63"/>
      <c r="AX92" s="63"/>
      <c r="AY92" s="63"/>
    </row>
    <row r="93" spans="1:51" s="113" customFormat="1">
      <c r="A93" s="588"/>
      <c r="B93" s="588"/>
      <c r="C93" s="588"/>
      <c r="D93" s="588"/>
      <c r="E93" s="588"/>
      <c r="F93" s="588"/>
      <c r="G93" s="588"/>
      <c r="H93" s="588"/>
      <c r="I93" s="588"/>
      <c r="J93" s="588"/>
      <c r="K93" s="588"/>
      <c r="L93" s="588"/>
      <c r="M93" s="588"/>
      <c r="N93" s="588"/>
      <c r="O93" s="588"/>
      <c r="P93" s="588"/>
      <c r="Q93" s="588"/>
      <c r="R93" s="588"/>
      <c r="S93" s="588"/>
      <c r="T93" s="588"/>
      <c r="U93" s="601"/>
      <c r="V93" s="588"/>
      <c r="W93" s="588"/>
      <c r="X93" s="588"/>
      <c r="Y93" s="63"/>
      <c r="Z93" s="63"/>
      <c r="AA93" s="63"/>
      <c r="AB93" s="63"/>
      <c r="AC93" s="63"/>
      <c r="AD93" s="63"/>
      <c r="AE93" s="63"/>
      <c r="AF93" s="63"/>
      <c r="AG93" s="63"/>
      <c r="AH93" s="63"/>
      <c r="AI93" s="63"/>
      <c r="AJ93" s="63"/>
      <c r="AK93" s="63"/>
      <c r="AL93" s="63"/>
      <c r="AM93" s="63"/>
      <c r="AN93" s="63"/>
      <c r="AO93" s="63"/>
      <c r="AP93" s="63"/>
      <c r="AQ93" s="63"/>
      <c r="AR93" s="63"/>
      <c r="AS93" s="63"/>
      <c r="AT93" s="63"/>
      <c r="AU93" s="63"/>
      <c r="AV93" s="63"/>
      <c r="AW93" s="63"/>
      <c r="AX93" s="63"/>
      <c r="AY93" s="63"/>
    </row>
    <row r="94" spans="1:51" s="113" customFormat="1">
      <c r="A94" s="588"/>
      <c r="B94" s="588"/>
      <c r="C94" s="588"/>
      <c r="D94" s="588"/>
      <c r="E94" s="588"/>
      <c r="F94" s="588"/>
      <c r="G94" s="588"/>
      <c r="H94" s="588"/>
      <c r="I94" s="588"/>
      <c r="J94" s="588"/>
      <c r="K94" s="588"/>
      <c r="L94" s="588"/>
      <c r="M94" s="588"/>
      <c r="N94" s="588"/>
      <c r="O94" s="588"/>
      <c r="P94" s="588"/>
      <c r="Q94" s="588"/>
      <c r="R94" s="588"/>
      <c r="S94" s="588"/>
      <c r="T94" s="588"/>
      <c r="U94" s="601"/>
      <c r="V94" s="588"/>
      <c r="W94" s="588"/>
      <c r="X94" s="588"/>
      <c r="Y94" s="63"/>
      <c r="Z94" s="63"/>
      <c r="AA94" s="63"/>
      <c r="AB94" s="63"/>
      <c r="AC94" s="63"/>
      <c r="AD94" s="63"/>
      <c r="AE94" s="63"/>
      <c r="AF94" s="63"/>
      <c r="AG94" s="63"/>
      <c r="AH94" s="63"/>
      <c r="AI94" s="63"/>
      <c r="AJ94" s="63"/>
      <c r="AK94" s="63"/>
      <c r="AL94" s="63"/>
      <c r="AM94" s="63"/>
      <c r="AN94" s="63"/>
      <c r="AO94" s="63"/>
      <c r="AP94" s="63"/>
      <c r="AQ94" s="63"/>
      <c r="AR94" s="63"/>
      <c r="AS94" s="63"/>
      <c r="AT94" s="63"/>
      <c r="AU94" s="63"/>
      <c r="AV94" s="63"/>
      <c r="AW94" s="63"/>
      <c r="AX94" s="63"/>
      <c r="AY94" s="63"/>
    </row>
    <row r="95" spans="1:51" s="113" customFormat="1">
      <c r="A95" s="588"/>
      <c r="B95" s="588"/>
      <c r="C95" s="588"/>
      <c r="D95" s="588"/>
      <c r="E95" s="588"/>
      <c r="F95" s="588"/>
      <c r="G95" s="588"/>
      <c r="H95" s="588"/>
      <c r="I95" s="588"/>
      <c r="J95" s="588"/>
      <c r="K95" s="588"/>
      <c r="L95" s="588"/>
      <c r="M95" s="588"/>
      <c r="N95" s="588"/>
      <c r="O95" s="588"/>
      <c r="P95" s="588"/>
      <c r="Q95" s="588"/>
      <c r="R95" s="588"/>
      <c r="S95" s="588"/>
      <c r="T95" s="588"/>
      <c r="U95" s="601"/>
      <c r="V95" s="588"/>
      <c r="W95" s="588"/>
      <c r="X95" s="588"/>
      <c r="Y95" s="63"/>
      <c r="Z95" s="63"/>
      <c r="AA95" s="63"/>
      <c r="AB95" s="63"/>
      <c r="AC95" s="63"/>
      <c r="AD95" s="63"/>
      <c r="AE95" s="63"/>
      <c r="AF95" s="63"/>
      <c r="AG95" s="63"/>
      <c r="AH95" s="63"/>
      <c r="AI95" s="63"/>
      <c r="AJ95" s="63"/>
      <c r="AK95" s="63"/>
      <c r="AL95" s="63"/>
      <c r="AM95" s="63"/>
      <c r="AN95" s="63"/>
      <c r="AO95" s="63"/>
      <c r="AP95" s="63"/>
      <c r="AQ95" s="63"/>
      <c r="AR95" s="63"/>
      <c r="AS95" s="63"/>
      <c r="AT95" s="63"/>
      <c r="AU95" s="63"/>
      <c r="AV95" s="63"/>
      <c r="AW95" s="63"/>
      <c r="AX95" s="63"/>
      <c r="AY95" s="63"/>
    </row>
    <row r="96" spans="1:51" s="113" customFormat="1">
      <c r="A96" s="588"/>
      <c r="B96" s="588"/>
      <c r="C96" s="588"/>
      <c r="D96" s="588"/>
      <c r="E96" s="588"/>
      <c r="F96" s="588"/>
      <c r="G96" s="588"/>
      <c r="H96" s="588"/>
      <c r="I96" s="588"/>
      <c r="J96" s="588"/>
      <c r="K96" s="588"/>
      <c r="L96" s="588"/>
      <c r="M96" s="588"/>
      <c r="N96" s="588"/>
      <c r="O96" s="588"/>
      <c r="P96" s="588"/>
      <c r="Q96" s="588"/>
      <c r="R96" s="588"/>
      <c r="S96" s="588"/>
      <c r="T96" s="588"/>
      <c r="U96" s="601"/>
      <c r="V96" s="588"/>
      <c r="W96" s="588"/>
      <c r="X96" s="588"/>
      <c r="Y96" s="63"/>
      <c r="Z96" s="63"/>
      <c r="AA96" s="63"/>
      <c r="AB96" s="63"/>
      <c r="AC96" s="63"/>
      <c r="AD96" s="63"/>
      <c r="AE96" s="63"/>
      <c r="AF96" s="63"/>
      <c r="AG96" s="63"/>
      <c r="AH96" s="63"/>
      <c r="AI96" s="63"/>
      <c r="AJ96" s="63"/>
      <c r="AK96" s="63"/>
      <c r="AL96" s="63"/>
      <c r="AM96" s="63"/>
      <c r="AN96" s="63"/>
      <c r="AO96" s="63"/>
      <c r="AP96" s="63"/>
      <c r="AQ96" s="63"/>
      <c r="AR96" s="63"/>
      <c r="AS96" s="63"/>
      <c r="AT96" s="63"/>
      <c r="AU96" s="63"/>
      <c r="AV96" s="63"/>
      <c r="AW96" s="63"/>
      <c r="AX96" s="63"/>
      <c r="AY96" s="63"/>
    </row>
    <row r="97" spans="1:51" s="113" customFormat="1">
      <c r="A97" s="588"/>
      <c r="B97" s="588"/>
      <c r="C97" s="588"/>
      <c r="D97" s="588"/>
      <c r="E97" s="588"/>
      <c r="F97" s="588"/>
      <c r="G97" s="588"/>
      <c r="H97" s="588"/>
      <c r="I97" s="588"/>
      <c r="J97" s="588"/>
      <c r="K97" s="588"/>
      <c r="L97" s="588"/>
      <c r="M97" s="588"/>
      <c r="N97" s="588"/>
      <c r="O97" s="588"/>
      <c r="P97" s="588"/>
      <c r="Q97" s="588"/>
      <c r="R97" s="588"/>
      <c r="S97" s="588"/>
      <c r="T97" s="588"/>
      <c r="U97" s="601"/>
      <c r="V97" s="588"/>
      <c r="W97" s="588"/>
      <c r="X97" s="588"/>
      <c r="Y97" s="63"/>
      <c r="Z97" s="63"/>
      <c r="AA97" s="63"/>
      <c r="AB97" s="63"/>
      <c r="AC97" s="63"/>
      <c r="AD97" s="63"/>
      <c r="AE97" s="63"/>
      <c r="AF97" s="63"/>
      <c r="AG97" s="63"/>
      <c r="AH97" s="63"/>
      <c r="AI97" s="63"/>
      <c r="AJ97" s="63"/>
      <c r="AK97" s="63"/>
      <c r="AL97" s="63"/>
      <c r="AM97" s="63"/>
      <c r="AN97" s="63"/>
      <c r="AO97" s="63"/>
      <c r="AP97" s="63"/>
      <c r="AQ97" s="63"/>
      <c r="AR97" s="63"/>
      <c r="AS97" s="63"/>
      <c r="AT97" s="63"/>
      <c r="AU97" s="63"/>
      <c r="AV97" s="63"/>
      <c r="AW97" s="63"/>
      <c r="AX97" s="63"/>
      <c r="AY97" s="63"/>
    </row>
    <row r="98" spans="1:51" s="113" customFormat="1">
      <c r="A98" s="588"/>
      <c r="B98" s="588"/>
      <c r="C98" s="588"/>
      <c r="D98" s="588"/>
      <c r="E98" s="588"/>
      <c r="F98" s="588"/>
      <c r="G98" s="588"/>
      <c r="H98" s="588"/>
      <c r="I98" s="588"/>
      <c r="J98" s="588"/>
      <c r="K98" s="588"/>
      <c r="L98" s="588"/>
      <c r="M98" s="588"/>
      <c r="N98" s="588"/>
      <c r="O98" s="588"/>
      <c r="P98" s="588"/>
      <c r="Q98" s="588"/>
      <c r="R98" s="588"/>
      <c r="S98" s="588"/>
      <c r="T98" s="588"/>
      <c r="U98" s="601"/>
      <c r="V98" s="588"/>
      <c r="W98" s="588"/>
      <c r="X98" s="588"/>
      <c r="Y98" s="63"/>
      <c r="Z98" s="63"/>
      <c r="AA98" s="63"/>
      <c r="AB98" s="63"/>
      <c r="AC98" s="63"/>
      <c r="AD98" s="63"/>
      <c r="AE98" s="63"/>
      <c r="AF98" s="63"/>
      <c r="AG98" s="63"/>
      <c r="AH98" s="63"/>
      <c r="AI98" s="63"/>
      <c r="AJ98" s="63"/>
      <c r="AK98" s="63"/>
      <c r="AL98" s="63"/>
      <c r="AM98" s="63"/>
      <c r="AN98" s="63"/>
      <c r="AO98" s="63"/>
      <c r="AP98" s="63"/>
      <c r="AQ98" s="63"/>
      <c r="AR98" s="63"/>
      <c r="AS98" s="63"/>
      <c r="AT98" s="63"/>
      <c r="AU98" s="63"/>
      <c r="AV98" s="63"/>
      <c r="AW98" s="63"/>
      <c r="AX98" s="63"/>
      <c r="AY98" s="63"/>
    </row>
    <row r="99" spans="1:51" s="113" customFormat="1">
      <c r="A99" s="588"/>
      <c r="B99" s="588"/>
      <c r="C99" s="588"/>
      <c r="D99" s="588"/>
      <c r="E99" s="588"/>
      <c r="F99" s="588"/>
      <c r="G99" s="588"/>
      <c r="H99" s="588"/>
      <c r="I99" s="588"/>
      <c r="J99" s="588"/>
      <c r="K99" s="588"/>
      <c r="L99" s="588"/>
      <c r="M99" s="588"/>
      <c r="N99" s="588"/>
      <c r="O99" s="588"/>
      <c r="P99" s="588"/>
      <c r="Q99" s="588"/>
      <c r="R99" s="588"/>
      <c r="S99" s="588"/>
      <c r="T99" s="588"/>
      <c r="U99" s="601"/>
      <c r="V99" s="588"/>
      <c r="W99" s="588"/>
      <c r="X99" s="588"/>
      <c r="Y99" s="63"/>
      <c r="Z99" s="63"/>
      <c r="AA99" s="63"/>
      <c r="AB99" s="63"/>
      <c r="AC99" s="63"/>
      <c r="AD99" s="63"/>
      <c r="AE99" s="63"/>
      <c r="AF99" s="63"/>
      <c r="AG99" s="63"/>
      <c r="AH99" s="63"/>
      <c r="AI99" s="63"/>
      <c r="AJ99" s="63"/>
      <c r="AK99" s="63"/>
      <c r="AL99" s="63"/>
      <c r="AM99" s="63"/>
      <c r="AN99" s="63"/>
      <c r="AO99" s="63"/>
      <c r="AP99" s="63"/>
      <c r="AQ99" s="63"/>
      <c r="AR99" s="63"/>
      <c r="AS99" s="63"/>
      <c r="AT99" s="63"/>
      <c r="AU99" s="63"/>
      <c r="AV99" s="63"/>
      <c r="AW99" s="63"/>
      <c r="AX99" s="63"/>
      <c r="AY99" s="63"/>
    </row>
    <row r="100" spans="1:51" s="113" customFormat="1">
      <c r="A100" s="588"/>
      <c r="B100" s="588"/>
      <c r="C100" s="588"/>
      <c r="D100" s="588"/>
      <c r="E100" s="588"/>
      <c r="F100" s="588"/>
      <c r="G100" s="588"/>
      <c r="H100" s="588"/>
      <c r="I100" s="588"/>
      <c r="J100" s="588"/>
      <c r="K100" s="588"/>
      <c r="L100" s="588"/>
      <c r="M100" s="588"/>
      <c r="N100" s="588"/>
      <c r="O100" s="588"/>
      <c r="P100" s="588"/>
      <c r="Q100" s="588"/>
      <c r="R100" s="588"/>
      <c r="S100" s="588"/>
      <c r="T100" s="588"/>
      <c r="U100" s="601"/>
      <c r="V100" s="588"/>
      <c r="W100" s="588"/>
      <c r="X100" s="588"/>
      <c r="Y100" s="63"/>
      <c r="Z100" s="63"/>
      <c r="AA100" s="63"/>
      <c r="AB100" s="63"/>
      <c r="AC100" s="63"/>
      <c r="AD100" s="63"/>
      <c r="AE100" s="63"/>
      <c r="AF100" s="63"/>
      <c r="AG100" s="63"/>
      <c r="AH100" s="63"/>
      <c r="AI100" s="63"/>
      <c r="AJ100" s="63"/>
      <c r="AK100" s="63"/>
      <c r="AL100" s="63"/>
      <c r="AM100" s="63"/>
      <c r="AN100" s="63"/>
      <c r="AO100" s="63"/>
      <c r="AP100" s="63"/>
      <c r="AQ100" s="63"/>
      <c r="AR100" s="63"/>
      <c r="AS100" s="63"/>
      <c r="AT100" s="63"/>
      <c r="AU100" s="63"/>
      <c r="AV100" s="63"/>
      <c r="AW100" s="63"/>
      <c r="AX100" s="63"/>
      <c r="AY100" s="63"/>
    </row>
    <row r="101" spans="1:51" s="113" customFormat="1">
      <c r="A101" s="601"/>
      <c r="B101" s="601"/>
      <c r="C101" s="601"/>
      <c r="D101" s="601"/>
      <c r="E101" s="602"/>
      <c r="F101" s="603"/>
      <c r="G101" s="603"/>
      <c r="H101" s="603"/>
      <c r="I101" s="603"/>
      <c r="J101" s="603"/>
      <c r="K101" s="601"/>
      <c r="L101" s="601"/>
      <c r="M101" s="601"/>
      <c r="N101" s="588"/>
      <c r="O101" s="588"/>
      <c r="P101" s="588"/>
      <c r="Q101" s="588"/>
      <c r="R101" s="588"/>
      <c r="S101" s="588"/>
      <c r="T101" s="588"/>
      <c r="U101" s="588"/>
      <c r="V101" s="588"/>
      <c r="W101" s="588"/>
      <c r="X101" s="588"/>
      <c r="Y101" s="63"/>
      <c r="Z101" s="63"/>
      <c r="AA101" s="63"/>
      <c r="AB101" s="63"/>
      <c r="AC101" s="63"/>
      <c r="AD101" s="63"/>
      <c r="AE101" s="63"/>
      <c r="AF101" s="63"/>
      <c r="AG101" s="63"/>
      <c r="AH101" s="63"/>
      <c r="AI101" s="63"/>
      <c r="AJ101" s="63"/>
      <c r="AK101" s="63"/>
      <c r="AL101" s="63"/>
      <c r="AM101" s="63"/>
      <c r="AN101" s="63"/>
      <c r="AO101" s="63"/>
      <c r="AP101" s="63"/>
      <c r="AQ101" s="63"/>
      <c r="AR101" s="63"/>
      <c r="AS101" s="63"/>
      <c r="AT101" s="63"/>
      <c r="AU101" s="63"/>
      <c r="AV101" s="63"/>
      <c r="AW101" s="63"/>
      <c r="AX101" s="63"/>
      <c r="AY101" s="63"/>
    </row>
    <row r="102" spans="1:51" s="113" customFormat="1">
      <c r="A102" s="601"/>
      <c r="B102" s="601"/>
      <c r="C102" s="601"/>
      <c r="D102" s="601"/>
      <c r="E102" s="602"/>
      <c r="F102" s="603"/>
      <c r="G102" s="603"/>
      <c r="H102" s="603"/>
      <c r="I102" s="603"/>
      <c r="J102" s="603"/>
      <c r="K102" s="601"/>
      <c r="L102" s="601"/>
      <c r="M102" s="601"/>
      <c r="N102" s="588"/>
      <c r="O102" s="588"/>
      <c r="P102" s="588"/>
      <c r="Q102" s="588"/>
      <c r="R102" s="588"/>
      <c r="S102" s="588"/>
      <c r="T102" s="588"/>
      <c r="U102" s="588"/>
      <c r="V102" s="588"/>
      <c r="W102" s="588"/>
      <c r="X102" s="588"/>
      <c r="Y102" s="63"/>
      <c r="Z102" s="63"/>
      <c r="AA102" s="63"/>
      <c r="AB102" s="63"/>
      <c r="AC102" s="63"/>
      <c r="AD102" s="63"/>
      <c r="AE102" s="63"/>
      <c r="AF102" s="63"/>
      <c r="AG102" s="63"/>
      <c r="AH102" s="63"/>
      <c r="AI102" s="63"/>
      <c r="AJ102" s="63"/>
      <c r="AK102" s="63"/>
      <c r="AL102" s="63"/>
      <c r="AM102" s="63"/>
      <c r="AN102" s="63"/>
      <c r="AO102" s="63"/>
      <c r="AP102" s="63"/>
      <c r="AQ102" s="63"/>
      <c r="AR102" s="63"/>
      <c r="AS102" s="63"/>
      <c r="AT102" s="63"/>
      <c r="AU102" s="63"/>
      <c r="AV102" s="63"/>
      <c r="AW102" s="63"/>
      <c r="AX102" s="63"/>
      <c r="AY102" s="63"/>
    </row>
    <row r="103" spans="1:51" s="113" customFormat="1">
      <c r="A103" s="601"/>
      <c r="B103" s="601"/>
      <c r="C103" s="601"/>
      <c r="D103" s="601"/>
      <c r="E103" s="602"/>
      <c r="F103" s="603"/>
      <c r="G103" s="603"/>
      <c r="H103" s="603"/>
      <c r="I103" s="603"/>
      <c r="J103" s="603"/>
      <c r="K103" s="601"/>
      <c r="L103" s="601"/>
      <c r="M103" s="601"/>
      <c r="N103" s="588"/>
      <c r="O103" s="588"/>
      <c r="P103" s="588"/>
      <c r="Q103" s="588"/>
      <c r="R103" s="588"/>
      <c r="S103" s="588"/>
      <c r="T103" s="588"/>
      <c r="U103" s="588"/>
      <c r="V103" s="588"/>
      <c r="W103" s="588"/>
      <c r="X103" s="588"/>
      <c r="Y103" s="63"/>
      <c r="Z103" s="63"/>
      <c r="AA103" s="63"/>
      <c r="AB103" s="63"/>
      <c r="AC103" s="63"/>
      <c r="AD103" s="63"/>
      <c r="AE103" s="63"/>
      <c r="AF103" s="63"/>
      <c r="AG103" s="63"/>
      <c r="AH103" s="63"/>
      <c r="AI103" s="63"/>
      <c r="AJ103" s="63"/>
      <c r="AK103" s="63"/>
      <c r="AL103" s="63"/>
      <c r="AM103" s="63"/>
      <c r="AN103" s="63"/>
      <c r="AO103" s="63"/>
      <c r="AP103" s="63"/>
      <c r="AQ103" s="63"/>
      <c r="AR103" s="63"/>
      <c r="AS103" s="63"/>
      <c r="AT103" s="63"/>
      <c r="AU103" s="63"/>
      <c r="AV103" s="63"/>
      <c r="AW103" s="63"/>
      <c r="AX103" s="63"/>
      <c r="AY103" s="63"/>
    </row>
    <row r="104" spans="1:51" s="113" customFormat="1">
      <c r="A104" s="601"/>
      <c r="B104" s="601"/>
      <c r="C104" s="601"/>
      <c r="D104" s="601"/>
      <c r="E104" s="602"/>
      <c r="F104" s="603"/>
      <c r="G104" s="603"/>
      <c r="H104" s="603"/>
      <c r="I104" s="603"/>
      <c r="J104" s="603"/>
      <c r="K104" s="604"/>
      <c r="L104" s="601"/>
      <c r="M104" s="601"/>
      <c r="N104" s="588"/>
      <c r="O104" s="588"/>
      <c r="P104" s="588"/>
      <c r="Q104" s="588"/>
      <c r="R104" s="588"/>
      <c r="S104" s="588"/>
      <c r="T104" s="588"/>
      <c r="U104" s="588"/>
      <c r="V104" s="588"/>
      <c r="W104" s="588"/>
      <c r="X104" s="588"/>
      <c r="Y104" s="63"/>
      <c r="Z104" s="63"/>
      <c r="AA104" s="63"/>
      <c r="AB104" s="63"/>
      <c r="AC104" s="63"/>
      <c r="AD104" s="63"/>
      <c r="AE104" s="63"/>
      <c r="AF104" s="63"/>
      <c r="AG104" s="63"/>
      <c r="AH104" s="63"/>
      <c r="AI104" s="63"/>
      <c r="AJ104" s="63"/>
      <c r="AK104" s="63"/>
      <c r="AL104" s="63"/>
      <c r="AM104" s="63"/>
      <c r="AN104" s="63"/>
      <c r="AO104" s="63"/>
      <c r="AP104" s="63"/>
      <c r="AQ104" s="63"/>
      <c r="AR104" s="63"/>
      <c r="AS104" s="63"/>
      <c r="AT104" s="63"/>
      <c r="AU104" s="63"/>
      <c r="AV104" s="63"/>
      <c r="AW104" s="63"/>
      <c r="AX104" s="63"/>
      <c r="AY104" s="63"/>
    </row>
    <row r="105" spans="1:51" s="113" customFormat="1">
      <c r="A105" s="601"/>
      <c r="B105" s="601"/>
      <c r="C105" s="601"/>
      <c r="D105" s="601"/>
      <c r="E105" s="602"/>
      <c r="F105" s="603"/>
      <c r="G105" s="603"/>
      <c r="H105" s="603"/>
      <c r="I105" s="603"/>
      <c r="J105" s="603"/>
      <c r="K105" s="603"/>
      <c r="L105" s="603"/>
      <c r="M105" s="601"/>
      <c r="N105" s="588"/>
      <c r="O105" s="588"/>
      <c r="P105" s="588"/>
      <c r="Q105" s="588"/>
      <c r="R105" s="588"/>
      <c r="S105" s="588"/>
      <c r="T105" s="588"/>
      <c r="U105" s="588"/>
      <c r="V105" s="588"/>
      <c r="W105" s="588"/>
      <c r="X105" s="588"/>
      <c r="Y105" s="63"/>
      <c r="Z105" s="63"/>
      <c r="AA105" s="63"/>
      <c r="AB105" s="63"/>
      <c r="AC105" s="63"/>
      <c r="AD105" s="63"/>
      <c r="AE105" s="63"/>
      <c r="AF105" s="63"/>
      <c r="AG105" s="63"/>
      <c r="AH105" s="63"/>
      <c r="AI105" s="63"/>
      <c r="AJ105" s="63"/>
      <c r="AK105" s="63"/>
      <c r="AL105" s="63"/>
      <c r="AM105" s="63"/>
      <c r="AN105" s="63"/>
      <c r="AO105" s="63"/>
      <c r="AP105" s="63"/>
      <c r="AQ105" s="63"/>
      <c r="AR105" s="63"/>
      <c r="AS105" s="63"/>
      <c r="AT105" s="63"/>
      <c r="AU105" s="63"/>
      <c r="AV105" s="63"/>
      <c r="AW105" s="63"/>
      <c r="AX105" s="63"/>
      <c r="AY105" s="63"/>
    </row>
    <row r="106" spans="1:51" s="113" customFormat="1">
      <c r="A106" s="601"/>
      <c r="B106" s="601"/>
      <c r="C106" s="601"/>
      <c r="D106" s="601"/>
      <c r="E106" s="603"/>
      <c r="F106" s="603"/>
      <c r="G106" s="588"/>
      <c r="H106" s="588"/>
      <c r="I106" s="588"/>
      <c r="J106" s="588"/>
      <c r="K106" s="588"/>
      <c r="L106" s="588"/>
      <c r="M106" s="588"/>
      <c r="N106" s="605"/>
      <c r="O106" s="588"/>
      <c r="P106" s="588"/>
      <c r="Q106" s="588"/>
      <c r="R106" s="588"/>
      <c r="S106" s="588"/>
      <c r="T106" s="588"/>
      <c r="U106" s="588"/>
      <c r="V106" s="588"/>
      <c r="W106" s="588"/>
      <c r="X106" s="588"/>
      <c r="Y106" s="63"/>
      <c r="Z106" s="63"/>
      <c r="AA106" s="63"/>
      <c r="AB106" s="63"/>
      <c r="AC106" s="63"/>
      <c r="AD106" s="63"/>
      <c r="AE106" s="63"/>
      <c r="AF106" s="63"/>
      <c r="AG106" s="63"/>
      <c r="AH106" s="63"/>
      <c r="AI106" s="63"/>
      <c r="AJ106" s="63"/>
      <c r="AK106" s="63"/>
      <c r="AL106" s="63"/>
      <c r="AM106" s="63"/>
      <c r="AN106" s="63"/>
      <c r="AO106" s="63"/>
      <c r="AP106" s="63"/>
      <c r="AQ106" s="63"/>
      <c r="AR106" s="63"/>
      <c r="AS106" s="63"/>
      <c r="AT106" s="63"/>
      <c r="AU106" s="63"/>
      <c r="AV106" s="63"/>
      <c r="AW106" s="63"/>
      <c r="AX106" s="63"/>
      <c r="AY106" s="63"/>
    </row>
    <row r="107" spans="1:51" s="113" customFormat="1">
      <c r="A107" s="63"/>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63"/>
      <c r="AV107" s="63"/>
      <c r="AW107" s="63"/>
      <c r="AX107" s="63"/>
      <c r="AY107" s="63"/>
    </row>
    <row r="108" spans="1:51" s="113" customFormat="1">
      <c r="A108" s="63"/>
      <c r="B108" s="63"/>
      <c r="C108" s="63"/>
      <c r="D108" s="63"/>
      <c r="E108" s="63"/>
      <c r="F108" s="63"/>
      <c r="G108" s="63"/>
      <c r="H108" s="63"/>
      <c r="I108" s="63"/>
      <c r="J108" s="63"/>
      <c r="K108" s="63"/>
      <c r="L108" s="63"/>
      <c r="M108" s="63"/>
      <c r="N108" s="63"/>
      <c r="O108" s="63"/>
      <c r="P108" s="63"/>
      <c r="Q108" s="63"/>
      <c r="R108" s="63"/>
      <c r="S108" s="63"/>
      <c r="T108" s="63"/>
      <c r="U108" s="63"/>
      <c r="V108" s="63"/>
      <c r="W108" s="63"/>
      <c r="X108" s="63"/>
      <c r="Y108" s="63"/>
      <c r="Z108" s="63"/>
      <c r="AA108" s="63"/>
      <c r="AB108" s="63"/>
      <c r="AC108" s="63"/>
      <c r="AD108" s="63"/>
      <c r="AE108" s="63"/>
      <c r="AF108" s="63"/>
      <c r="AG108" s="63"/>
      <c r="AH108" s="63"/>
      <c r="AI108" s="63"/>
      <c r="AJ108" s="63"/>
      <c r="AK108" s="63"/>
      <c r="AL108" s="63"/>
      <c r="AM108" s="63"/>
      <c r="AN108" s="63"/>
      <c r="AO108" s="63"/>
      <c r="AP108" s="63"/>
      <c r="AQ108" s="63"/>
      <c r="AR108" s="63"/>
      <c r="AS108" s="63"/>
      <c r="AT108" s="63"/>
      <c r="AU108" s="63"/>
      <c r="AV108" s="63"/>
      <c r="AW108" s="63"/>
      <c r="AX108" s="63"/>
      <c r="AY108" s="63"/>
    </row>
    <row r="109" spans="1:51" s="113" customFormat="1">
      <c r="A109" s="63"/>
      <c r="B109" s="63"/>
      <c r="C109" s="63"/>
      <c r="D109" s="63"/>
      <c r="E109" s="63"/>
      <c r="F109" s="63"/>
      <c r="G109" s="63"/>
      <c r="H109" s="63"/>
      <c r="I109" s="63"/>
      <c r="J109" s="63"/>
      <c r="K109" s="63"/>
      <c r="L109" s="63"/>
      <c r="M109" s="63"/>
      <c r="N109" s="63"/>
      <c r="O109" s="63"/>
      <c r="P109" s="63"/>
      <c r="Q109" s="63"/>
      <c r="R109" s="63"/>
      <c r="S109" s="63"/>
      <c r="T109" s="63"/>
      <c r="U109" s="63"/>
      <c r="V109" s="63"/>
      <c r="W109" s="63"/>
      <c r="X109" s="63"/>
      <c r="Y109" s="63"/>
      <c r="Z109" s="63"/>
      <c r="AA109" s="63"/>
      <c r="AB109" s="63"/>
      <c r="AC109" s="63"/>
      <c r="AD109" s="63"/>
      <c r="AE109" s="63"/>
      <c r="AF109" s="63"/>
      <c r="AG109" s="63"/>
      <c r="AH109" s="63"/>
      <c r="AI109" s="63"/>
      <c r="AJ109" s="63"/>
      <c r="AK109" s="63"/>
      <c r="AL109" s="63"/>
      <c r="AM109" s="63"/>
      <c r="AN109" s="63"/>
      <c r="AO109" s="63"/>
      <c r="AP109" s="63"/>
      <c r="AQ109" s="63"/>
      <c r="AR109" s="63"/>
      <c r="AS109" s="63"/>
      <c r="AT109" s="63"/>
      <c r="AU109" s="63"/>
      <c r="AV109" s="63"/>
      <c r="AW109" s="63"/>
      <c r="AX109" s="63"/>
      <c r="AY109" s="63"/>
    </row>
    <row r="110" spans="1:51" s="113" customFormat="1">
      <c r="A110" s="63"/>
      <c r="B110" s="63"/>
      <c r="C110" s="63"/>
      <c r="D110" s="63"/>
      <c r="E110" s="63"/>
      <c r="F110" s="63"/>
      <c r="G110" s="63"/>
      <c r="H110" s="63"/>
      <c r="I110" s="63"/>
      <c r="J110" s="63"/>
      <c r="K110" s="63"/>
      <c r="L110" s="63"/>
      <c r="M110" s="63"/>
      <c r="N110" s="63"/>
      <c r="O110" s="63"/>
      <c r="P110" s="63"/>
      <c r="Q110" s="63"/>
      <c r="R110" s="63"/>
      <c r="S110" s="63"/>
      <c r="T110" s="63"/>
      <c r="U110" s="63"/>
      <c r="V110" s="63"/>
      <c r="W110" s="63"/>
      <c r="X110" s="63"/>
      <c r="Y110" s="63"/>
      <c r="Z110" s="63"/>
      <c r="AA110" s="63"/>
      <c r="AB110" s="63"/>
      <c r="AC110" s="63"/>
      <c r="AD110" s="63"/>
      <c r="AE110" s="63"/>
      <c r="AF110" s="63"/>
      <c r="AG110" s="63"/>
      <c r="AH110" s="63"/>
      <c r="AI110" s="63"/>
      <c r="AJ110" s="63"/>
      <c r="AK110" s="63"/>
      <c r="AL110" s="63"/>
      <c r="AM110" s="63"/>
      <c r="AN110" s="63"/>
      <c r="AO110" s="63"/>
      <c r="AP110" s="63"/>
      <c r="AQ110" s="63"/>
      <c r="AR110" s="63"/>
      <c r="AS110" s="63"/>
      <c r="AT110" s="63"/>
      <c r="AU110" s="63"/>
      <c r="AV110" s="63"/>
      <c r="AW110" s="63"/>
      <c r="AX110" s="63"/>
      <c r="AY110" s="63"/>
    </row>
    <row r="111" spans="1:51" s="113" customFormat="1">
      <c r="A111" s="63"/>
      <c r="B111" s="63"/>
      <c r="C111" s="63"/>
      <c r="D111" s="63"/>
      <c r="E111" s="63"/>
      <c r="F111" s="63"/>
      <c r="G111" s="63"/>
      <c r="H111" s="63"/>
      <c r="I111" s="63"/>
      <c r="J111" s="63"/>
      <c r="K111" s="63"/>
      <c r="L111" s="63"/>
      <c r="M111" s="63"/>
      <c r="N111" s="63"/>
      <c r="O111" s="63"/>
      <c r="P111" s="63"/>
      <c r="Q111" s="63"/>
      <c r="R111" s="63"/>
      <c r="S111" s="63"/>
      <c r="T111" s="63"/>
      <c r="U111" s="63"/>
      <c r="V111" s="63"/>
      <c r="W111" s="63"/>
      <c r="X111" s="63"/>
      <c r="Y111" s="63"/>
      <c r="Z111" s="63"/>
      <c r="AA111" s="63"/>
      <c r="AB111" s="63"/>
      <c r="AC111" s="63"/>
      <c r="AD111" s="63"/>
      <c r="AE111" s="63"/>
      <c r="AF111" s="63"/>
      <c r="AG111" s="63"/>
      <c r="AH111" s="63"/>
      <c r="AI111" s="63"/>
      <c r="AJ111" s="63"/>
      <c r="AK111" s="63"/>
      <c r="AL111" s="63"/>
      <c r="AM111" s="63"/>
      <c r="AN111" s="63"/>
      <c r="AO111" s="63"/>
      <c r="AP111" s="63"/>
      <c r="AQ111" s="63"/>
      <c r="AR111" s="63"/>
      <c r="AS111" s="63"/>
      <c r="AT111" s="63"/>
      <c r="AU111" s="63"/>
      <c r="AV111" s="63"/>
      <c r="AW111" s="63"/>
      <c r="AX111" s="63"/>
      <c r="AY111" s="63"/>
    </row>
    <row r="112" spans="1:51" s="113" customFormat="1">
      <c r="A112" s="63"/>
      <c r="B112" s="63"/>
      <c r="C112" s="63"/>
      <c r="D112" s="63"/>
      <c r="E112" s="63"/>
      <c r="F112" s="63"/>
      <c r="G112" s="63"/>
      <c r="H112" s="63"/>
      <c r="I112" s="63"/>
      <c r="J112" s="63"/>
      <c r="K112" s="63"/>
      <c r="L112" s="63"/>
      <c r="M112" s="63"/>
      <c r="N112" s="63"/>
      <c r="O112" s="63"/>
      <c r="P112" s="63"/>
      <c r="Q112" s="63"/>
      <c r="R112" s="63"/>
      <c r="S112" s="63"/>
      <c r="T112" s="63"/>
      <c r="U112" s="63"/>
      <c r="V112" s="63"/>
      <c r="W112" s="63"/>
      <c r="X112" s="63"/>
      <c r="Y112" s="63"/>
      <c r="Z112" s="63"/>
      <c r="AA112" s="63"/>
      <c r="AB112" s="63"/>
      <c r="AC112" s="63"/>
      <c r="AD112" s="63"/>
      <c r="AE112" s="63"/>
      <c r="AF112" s="63"/>
      <c r="AG112" s="63"/>
      <c r="AH112" s="63"/>
      <c r="AI112" s="63"/>
      <c r="AJ112" s="63"/>
      <c r="AK112" s="63"/>
      <c r="AL112" s="63"/>
      <c r="AM112" s="63"/>
      <c r="AN112" s="63"/>
      <c r="AO112" s="63"/>
      <c r="AP112" s="63"/>
      <c r="AQ112" s="63"/>
      <c r="AR112" s="63"/>
      <c r="AS112" s="63"/>
      <c r="AT112" s="63"/>
      <c r="AU112" s="63"/>
      <c r="AV112" s="63"/>
      <c r="AW112" s="63"/>
      <c r="AX112" s="63"/>
      <c r="AY112" s="63"/>
    </row>
    <row r="113" spans="1:51" s="113" customFormat="1">
      <c r="A113" s="63"/>
      <c r="B113" s="63"/>
      <c r="C113" s="63"/>
      <c r="D113" s="63"/>
      <c r="E113" s="63"/>
      <c r="F113" s="63"/>
      <c r="G113" s="63"/>
      <c r="H113" s="63"/>
      <c r="I113" s="63"/>
      <c r="J113" s="63"/>
      <c r="K113" s="63"/>
      <c r="L113" s="63"/>
      <c r="M113" s="63"/>
      <c r="N113" s="63"/>
      <c r="O113" s="63"/>
      <c r="P113" s="63"/>
      <c r="Q113" s="63"/>
      <c r="R113" s="63"/>
      <c r="S113" s="63"/>
      <c r="T113" s="63"/>
      <c r="U113" s="63"/>
      <c r="V113" s="63"/>
      <c r="W113" s="63"/>
      <c r="X113" s="63"/>
      <c r="Y113" s="63"/>
      <c r="Z113" s="63"/>
      <c r="AA113" s="63"/>
      <c r="AB113" s="63"/>
      <c r="AC113" s="63"/>
      <c r="AD113" s="63"/>
      <c r="AE113" s="63"/>
      <c r="AF113" s="63"/>
      <c r="AG113" s="63"/>
      <c r="AH113" s="63"/>
      <c r="AI113" s="63"/>
      <c r="AJ113" s="63"/>
      <c r="AK113" s="63"/>
      <c r="AL113" s="63"/>
      <c r="AM113" s="63"/>
      <c r="AN113" s="63"/>
      <c r="AO113" s="63"/>
      <c r="AP113" s="63"/>
      <c r="AQ113" s="63"/>
      <c r="AR113" s="63"/>
      <c r="AS113" s="63"/>
      <c r="AT113" s="63"/>
      <c r="AU113" s="63"/>
      <c r="AV113" s="63"/>
      <c r="AW113" s="63"/>
      <c r="AX113" s="63"/>
      <c r="AY113" s="63"/>
    </row>
    <row r="114" spans="1:51" s="113" customFormat="1">
      <c r="A114" s="63"/>
      <c r="B114" s="63"/>
      <c r="C114" s="63"/>
      <c r="D114" s="63"/>
      <c r="E114" s="63"/>
      <c r="F114" s="63"/>
      <c r="G114" s="63"/>
      <c r="H114" s="63"/>
      <c r="I114" s="63"/>
      <c r="J114" s="63"/>
      <c r="K114" s="63"/>
      <c r="L114" s="63"/>
      <c r="M114" s="63"/>
      <c r="N114" s="63"/>
      <c r="O114" s="63"/>
      <c r="P114" s="63"/>
      <c r="Q114" s="63"/>
      <c r="R114" s="63"/>
      <c r="S114" s="63"/>
      <c r="T114" s="63"/>
      <c r="U114" s="63"/>
      <c r="V114" s="63"/>
      <c r="W114" s="63"/>
      <c r="X114" s="63"/>
      <c r="Y114" s="63"/>
      <c r="Z114" s="63"/>
      <c r="AA114" s="63"/>
      <c r="AB114" s="63"/>
      <c r="AC114" s="63"/>
      <c r="AD114" s="63"/>
      <c r="AE114" s="63"/>
      <c r="AF114" s="63"/>
      <c r="AG114" s="63"/>
      <c r="AH114" s="63"/>
      <c r="AI114" s="63"/>
      <c r="AJ114" s="63"/>
      <c r="AK114" s="63"/>
      <c r="AL114" s="63"/>
      <c r="AM114" s="63"/>
      <c r="AN114" s="63"/>
      <c r="AO114" s="63"/>
      <c r="AP114" s="63"/>
      <c r="AQ114" s="63"/>
      <c r="AR114" s="63"/>
      <c r="AS114" s="63"/>
      <c r="AT114" s="63"/>
      <c r="AU114" s="63"/>
      <c r="AV114" s="63"/>
      <c r="AW114" s="63"/>
      <c r="AX114" s="63"/>
      <c r="AY114" s="63"/>
    </row>
    <row r="115" spans="1:51" s="113" customFormat="1">
      <c r="A115" s="63"/>
      <c r="B115" s="63"/>
      <c r="C115" s="63"/>
      <c r="D115" s="63"/>
      <c r="E115" s="63"/>
      <c r="F115" s="63"/>
      <c r="G115" s="63"/>
      <c r="H115" s="63"/>
      <c r="I115" s="63"/>
      <c r="J115" s="63"/>
      <c r="K115" s="63"/>
      <c r="L115" s="63"/>
      <c r="M115" s="63"/>
      <c r="N115" s="63"/>
      <c r="O115" s="63"/>
      <c r="P115" s="63"/>
      <c r="Q115" s="63"/>
      <c r="R115" s="63"/>
      <c r="S115" s="63"/>
      <c r="T115" s="63"/>
      <c r="U115" s="63"/>
      <c r="V115" s="63"/>
      <c r="W115" s="63"/>
      <c r="X115" s="63"/>
      <c r="Y115" s="63"/>
      <c r="Z115" s="63"/>
      <c r="AA115" s="63"/>
      <c r="AB115" s="63"/>
      <c r="AC115" s="63"/>
      <c r="AD115" s="63"/>
      <c r="AE115" s="63"/>
      <c r="AF115" s="63"/>
      <c r="AG115" s="63"/>
      <c r="AH115" s="63"/>
      <c r="AI115" s="63"/>
      <c r="AJ115" s="63"/>
      <c r="AK115" s="63"/>
      <c r="AL115" s="63"/>
      <c r="AM115" s="63"/>
      <c r="AN115" s="63"/>
      <c r="AO115" s="63"/>
      <c r="AP115" s="63"/>
      <c r="AQ115" s="63"/>
      <c r="AR115" s="63"/>
      <c r="AS115" s="63"/>
      <c r="AT115" s="63"/>
      <c r="AU115" s="63"/>
      <c r="AV115" s="63"/>
      <c r="AW115" s="63"/>
      <c r="AX115" s="63"/>
      <c r="AY115" s="63"/>
    </row>
    <row r="116" spans="1:51" s="113" customFormat="1">
      <c r="A116" s="63"/>
      <c r="B116" s="63"/>
      <c r="C116" s="63"/>
      <c r="D116" s="63"/>
      <c r="E116" s="63"/>
      <c r="F116" s="63"/>
      <c r="G116" s="63"/>
      <c r="H116" s="63"/>
      <c r="I116" s="63"/>
      <c r="J116" s="63"/>
      <c r="K116" s="63"/>
      <c r="L116" s="63"/>
      <c r="M116" s="63"/>
      <c r="N116" s="63"/>
      <c r="O116" s="63"/>
      <c r="P116" s="63"/>
      <c r="Q116" s="63"/>
      <c r="R116" s="63"/>
      <c r="S116" s="63"/>
      <c r="T116" s="63"/>
      <c r="U116" s="63"/>
      <c r="V116" s="63"/>
      <c r="W116" s="63"/>
      <c r="X116" s="63"/>
      <c r="Y116" s="63"/>
      <c r="Z116" s="63"/>
      <c r="AA116" s="63"/>
      <c r="AB116" s="63"/>
      <c r="AC116" s="63"/>
      <c r="AD116" s="63"/>
      <c r="AE116" s="63"/>
      <c r="AF116" s="63"/>
      <c r="AG116" s="63"/>
      <c r="AH116" s="63"/>
      <c r="AI116" s="63"/>
      <c r="AJ116" s="63"/>
      <c r="AK116" s="63"/>
      <c r="AL116" s="63"/>
      <c r="AM116" s="63"/>
      <c r="AN116" s="63"/>
      <c r="AO116" s="63"/>
      <c r="AP116" s="63"/>
      <c r="AQ116" s="63"/>
      <c r="AR116" s="63"/>
      <c r="AS116" s="63"/>
      <c r="AT116" s="63"/>
      <c r="AU116" s="63"/>
      <c r="AV116" s="63"/>
      <c r="AW116" s="63"/>
      <c r="AX116" s="63"/>
      <c r="AY116" s="63"/>
    </row>
    <row r="117" spans="1:51" s="113" customFormat="1">
      <c r="A117" s="63"/>
      <c r="B117" s="63"/>
      <c r="C117" s="63"/>
      <c r="D117" s="63"/>
      <c r="E117" s="63"/>
      <c r="F117" s="63"/>
      <c r="G117" s="63"/>
      <c r="H117" s="63"/>
      <c r="I117" s="63"/>
      <c r="J117" s="63"/>
      <c r="K117" s="63"/>
      <c r="L117" s="63"/>
      <c r="M117" s="63"/>
      <c r="N117" s="63"/>
      <c r="O117" s="63"/>
      <c r="P117" s="63"/>
      <c r="Q117" s="63"/>
      <c r="R117" s="63"/>
      <c r="S117" s="63"/>
      <c r="T117" s="63"/>
      <c r="U117" s="63"/>
      <c r="V117" s="63"/>
      <c r="W117" s="63"/>
      <c r="X117" s="63"/>
      <c r="Y117" s="63"/>
      <c r="Z117" s="63"/>
      <c r="AA117" s="63"/>
      <c r="AB117" s="63"/>
      <c r="AC117" s="63"/>
      <c r="AD117" s="63"/>
      <c r="AE117" s="63"/>
      <c r="AF117" s="63"/>
      <c r="AG117" s="63"/>
      <c r="AH117" s="63"/>
      <c r="AI117" s="63"/>
      <c r="AJ117" s="63"/>
      <c r="AK117" s="63"/>
      <c r="AL117" s="63"/>
      <c r="AM117" s="63"/>
      <c r="AN117" s="63"/>
      <c r="AO117" s="63"/>
      <c r="AP117" s="63"/>
      <c r="AQ117" s="63"/>
      <c r="AR117" s="63"/>
      <c r="AS117" s="63"/>
      <c r="AT117" s="63"/>
      <c r="AU117" s="63"/>
      <c r="AV117" s="63"/>
      <c r="AW117" s="63"/>
      <c r="AX117" s="63"/>
      <c r="AY117" s="63"/>
    </row>
    <row r="118" spans="1:51" s="113" customFormat="1">
      <c r="A118" s="63"/>
      <c r="B118" s="63"/>
      <c r="C118" s="63"/>
      <c r="D118" s="63"/>
      <c r="E118" s="63"/>
      <c r="F118" s="63"/>
      <c r="G118" s="63"/>
      <c r="H118" s="63"/>
      <c r="I118" s="63"/>
      <c r="J118" s="63"/>
      <c r="K118" s="63"/>
      <c r="L118" s="63"/>
      <c r="M118" s="63"/>
      <c r="N118" s="63"/>
      <c r="O118" s="63"/>
      <c r="P118" s="63"/>
      <c r="Q118" s="63"/>
      <c r="R118" s="63"/>
      <c r="S118" s="63"/>
      <c r="T118" s="63"/>
      <c r="U118" s="63"/>
      <c r="V118" s="63"/>
      <c r="W118" s="63"/>
      <c r="X118" s="63"/>
      <c r="Y118" s="63"/>
      <c r="Z118" s="63"/>
      <c r="AA118" s="63"/>
      <c r="AB118" s="63"/>
      <c r="AC118" s="63"/>
      <c r="AD118" s="63"/>
      <c r="AE118" s="63"/>
      <c r="AF118" s="63"/>
      <c r="AG118" s="63"/>
      <c r="AH118" s="63"/>
      <c r="AI118" s="63"/>
      <c r="AJ118" s="63"/>
      <c r="AK118" s="63"/>
      <c r="AL118" s="63"/>
      <c r="AM118" s="63"/>
      <c r="AN118" s="63"/>
      <c r="AO118" s="63"/>
      <c r="AP118" s="63"/>
      <c r="AQ118" s="63"/>
      <c r="AR118" s="63"/>
      <c r="AS118" s="63"/>
      <c r="AT118" s="63"/>
      <c r="AU118" s="63"/>
      <c r="AV118" s="63"/>
      <c r="AW118" s="63"/>
      <c r="AX118" s="63"/>
      <c r="AY118" s="63"/>
    </row>
    <row r="119" spans="1:51" s="113" customFormat="1">
      <c r="A119" s="63"/>
      <c r="B119" s="63"/>
      <c r="C119" s="63"/>
      <c r="D119" s="63"/>
      <c r="E119" s="63"/>
      <c r="F119" s="63"/>
      <c r="G119" s="63"/>
      <c r="H119" s="63"/>
      <c r="I119" s="63"/>
      <c r="J119" s="63"/>
      <c r="K119" s="63"/>
      <c r="L119" s="63"/>
      <c r="M119" s="63"/>
      <c r="N119" s="63"/>
      <c r="O119" s="63"/>
      <c r="P119" s="63"/>
      <c r="Q119" s="63"/>
      <c r="R119" s="63"/>
      <c r="S119" s="63"/>
      <c r="T119" s="63"/>
      <c r="U119" s="63"/>
      <c r="V119" s="63"/>
      <c r="W119" s="63"/>
      <c r="X119" s="63"/>
      <c r="Y119" s="63"/>
      <c r="Z119" s="63"/>
      <c r="AA119" s="63"/>
      <c r="AB119" s="63"/>
      <c r="AC119" s="63"/>
      <c r="AD119" s="63"/>
      <c r="AE119" s="63"/>
      <c r="AF119" s="63"/>
      <c r="AG119" s="63"/>
      <c r="AH119" s="63"/>
      <c r="AI119" s="63"/>
      <c r="AJ119" s="63"/>
      <c r="AK119" s="63"/>
      <c r="AL119" s="63"/>
      <c r="AM119" s="63"/>
      <c r="AN119" s="63"/>
      <c r="AO119" s="63"/>
      <c r="AP119" s="63"/>
      <c r="AQ119" s="63"/>
      <c r="AR119" s="63"/>
      <c r="AS119" s="63"/>
      <c r="AT119" s="63"/>
      <c r="AU119" s="63"/>
      <c r="AV119" s="63"/>
      <c r="AW119" s="63"/>
      <c r="AX119" s="63"/>
      <c r="AY119" s="63"/>
    </row>
    <row r="120" spans="1:51" s="113" customFormat="1">
      <c r="A120" s="63"/>
      <c r="B120" s="63"/>
      <c r="C120" s="63"/>
      <c r="D120" s="63"/>
      <c r="E120" s="63"/>
      <c r="F120" s="63"/>
      <c r="G120" s="63"/>
      <c r="H120" s="63"/>
      <c r="I120" s="63"/>
      <c r="J120" s="63"/>
      <c r="K120" s="63"/>
      <c r="L120" s="63"/>
      <c r="M120" s="63"/>
      <c r="N120" s="63"/>
      <c r="O120" s="63"/>
      <c r="P120" s="63"/>
      <c r="Q120" s="63"/>
      <c r="R120" s="63"/>
      <c r="S120" s="63"/>
      <c r="T120" s="63"/>
      <c r="U120" s="63"/>
      <c r="V120" s="63"/>
      <c r="W120" s="63"/>
      <c r="X120" s="63"/>
      <c r="Y120" s="63"/>
      <c r="Z120" s="63"/>
      <c r="AA120" s="63"/>
      <c r="AB120" s="63"/>
      <c r="AC120" s="63"/>
      <c r="AD120" s="63"/>
      <c r="AE120" s="63"/>
      <c r="AF120" s="63"/>
      <c r="AG120" s="63"/>
      <c r="AH120" s="63"/>
      <c r="AI120" s="63"/>
      <c r="AJ120" s="63"/>
      <c r="AK120" s="63"/>
      <c r="AL120" s="63"/>
      <c r="AM120" s="63"/>
      <c r="AN120" s="63"/>
      <c r="AO120" s="63"/>
      <c r="AP120" s="63"/>
      <c r="AQ120" s="63"/>
      <c r="AR120" s="63"/>
      <c r="AS120" s="63"/>
      <c r="AT120" s="63"/>
      <c r="AU120" s="63"/>
      <c r="AV120" s="63"/>
      <c r="AW120" s="63"/>
      <c r="AX120" s="63"/>
      <c r="AY120" s="63"/>
    </row>
    <row r="121" spans="1:51" s="113" customFormat="1">
      <c r="A121" s="63"/>
      <c r="B121" s="63"/>
      <c r="C121" s="63"/>
      <c r="D121" s="63"/>
      <c r="E121" s="63"/>
      <c r="F121" s="63"/>
      <c r="G121" s="63"/>
      <c r="H121" s="63"/>
      <c r="I121" s="63"/>
      <c r="J121" s="63"/>
      <c r="K121" s="63"/>
      <c r="L121" s="63"/>
      <c r="M121" s="63"/>
      <c r="N121" s="63"/>
      <c r="O121" s="63"/>
      <c r="P121" s="63"/>
      <c r="Q121" s="63"/>
      <c r="R121" s="63"/>
      <c r="S121" s="63"/>
      <c r="T121" s="63"/>
      <c r="U121" s="63"/>
      <c r="V121" s="63"/>
      <c r="W121" s="63"/>
      <c r="X121" s="63"/>
      <c r="Y121" s="63"/>
      <c r="Z121" s="63"/>
      <c r="AA121" s="63"/>
      <c r="AB121" s="63"/>
      <c r="AC121" s="63"/>
      <c r="AD121" s="63"/>
      <c r="AE121" s="63"/>
      <c r="AF121" s="63"/>
      <c r="AG121" s="63"/>
      <c r="AH121" s="63"/>
      <c r="AI121" s="63"/>
      <c r="AJ121" s="63"/>
      <c r="AK121" s="63"/>
      <c r="AL121" s="63"/>
      <c r="AM121" s="63"/>
      <c r="AN121" s="63"/>
      <c r="AO121" s="63"/>
      <c r="AP121" s="63"/>
      <c r="AQ121" s="63"/>
      <c r="AR121" s="63"/>
      <c r="AS121" s="63"/>
      <c r="AT121" s="63"/>
      <c r="AU121" s="63"/>
      <c r="AV121" s="63"/>
      <c r="AW121" s="63"/>
      <c r="AX121" s="63"/>
      <c r="AY121" s="63"/>
    </row>
    <row r="122" spans="1:51" s="113" customFormat="1">
      <c r="A122" s="63"/>
      <c r="B122" s="63"/>
      <c r="C122" s="63"/>
      <c r="D122" s="63"/>
      <c r="E122" s="63"/>
      <c r="F122" s="63"/>
      <c r="G122" s="63"/>
      <c r="H122" s="63"/>
      <c r="I122" s="63"/>
      <c r="J122" s="63"/>
      <c r="K122" s="63"/>
      <c r="L122" s="63"/>
      <c r="M122" s="63"/>
      <c r="N122" s="63"/>
      <c r="O122" s="63"/>
      <c r="P122" s="63"/>
      <c r="Q122" s="63"/>
      <c r="R122" s="63"/>
      <c r="S122" s="63"/>
      <c r="T122" s="63"/>
      <c r="U122" s="63"/>
      <c r="V122" s="63"/>
      <c r="W122" s="63"/>
      <c r="X122" s="63"/>
      <c r="Y122" s="63"/>
      <c r="Z122" s="63"/>
      <c r="AA122" s="63"/>
      <c r="AB122" s="63"/>
      <c r="AC122" s="63"/>
      <c r="AD122" s="63"/>
      <c r="AE122" s="63"/>
      <c r="AF122" s="63"/>
      <c r="AG122" s="63"/>
      <c r="AH122" s="63"/>
      <c r="AI122" s="63"/>
      <c r="AJ122" s="63"/>
      <c r="AK122" s="63"/>
      <c r="AL122" s="63"/>
      <c r="AM122" s="63"/>
      <c r="AN122" s="63"/>
      <c r="AO122" s="63"/>
      <c r="AP122" s="63"/>
      <c r="AQ122" s="63"/>
      <c r="AR122" s="63"/>
      <c r="AS122" s="63"/>
      <c r="AT122" s="63"/>
      <c r="AU122" s="63"/>
      <c r="AV122" s="63"/>
      <c r="AW122" s="63"/>
      <c r="AX122" s="63"/>
      <c r="AY122" s="63"/>
    </row>
    <row r="123" spans="1:51" s="113" customFormat="1">
      <c r="A123" s="63"/>
      <c r="B123" s="63"/>
      <c r="C123" s="63"/>
      <c r="D123" s="63"/>
      <c r="E123" s="63"/>
      <c r="F123" s="63"/>
      <c r="G123" s="63"/>
      <c r="H123" s="63"/>
      <c r="I123" s="63"/>
      <c r="J123" s="63"/>
      <c r="K123" s="63"/>
      <c r="L123" s="63"/>
      <c r="M123" s="63"/>
      <c r="N123" s="63"/>
      <c r="O123" s="63"/>
      <c r="P123" s="63"/>
      <c r="Q123" s="63"/>
      <c r="R123" s="63"/>
      <c r="S123" s="63"/>
      <c r="T123" s="63"/>
      <c r="U123" s="63"/>
      <c r="V123" s="63"/>
      <c r="W123" s="63"/>
      <c r="X123" s="63"/>
      <c r="Y123" s="63"/>
      <c r="Z123" s="63"/>
      <c r="AA123" s="63"/>
      <c r="AB123" s="63"/>
      <c r="AC123" s="63"/>
      <c r="AD123" s="63"/>
      <c r="AE123" s="63"/>
      <c r="AF123" s="63"/>
      <c r="AG123" s="63"/>
      <c r="AH123" s="63"/>
      <c r="AI123" s="63"/>
      <c r="AJ123" s="63"/>
      <c r="AK123" s="63"/>
      <c r="AL123" s="63"/>
      <c r="AM123" s="63"/>
      <c r="AN123" s="63"/>
      <c r="AO123" s="63"/>
      <c r="AP123" s="63"/>
      <c r="AQ123" s="63"/>
      <c r="AR123" s="63"/>
      <c r="AS123" s="63"/>
      <c r="AT123" s="63"/>
      <c r="AU123" s="63"/>
      <c r="AV123" s="63"/>
      <c r="AW123" s="63"/>
      <c r="AX123" s="63"/>
      <c r="AY123" s="63"/>
    </row>
    <row r="124" spans="1:51" s="113" customFormat="1">
      <c r="A124" s="63"/>
      <c r="B124" s="63"/>
      <c r="C124" s="63"/>
      <c r="D124" s="63"/>
      <c r="E124" s="63"/>
      <c r="F124" s="63"/>
      <c r="G124" s="63"/>
      <c r="H124" s="63"/>
      <c r="I124" s="63"/>
      <c r="J124" s="63"/>
      <c r="K124" s="63"/>
      <c r="L124" s="63"/>
      <c r="M124" s="63"/>
      <c r="N124" s="63"/>
      <c r="O124" s="63"/>
      <c r="P124" s="63"/>
      <c r="Q124" s="63"/>
      <c r="R124" s="63"/>
      <c r="S124" s="63"/>
      <c r="T124" s="63"/>
      <c r="U124" s="63"/>
      <c r="V124" s="63"/>
      <c r="W124" s="63"/>
      <c r="X124" s="63"/>
      <c r="Y124" s="63"/>
      <c r="Z124" s="63"/>
      <c r="AA124" s="63"/>
      <c r="AB124" s="63"/>
      <c r="AC124" s="63"/>
      <c r="AD124" s="63"/>
      <c r="AE124" s="63"/>
      <c r="AF124" s="63"/>
      <c r="AG124" s="63"/>
      <c r="AH124" s="63"/>
      <c r="AI124" s="63"/>
      <c r="AJ124" s="63"/>
      <c r="AK124" s="63"/>
      <c r="AL124" s="63"/>
      <c r="AM124" s="63"/>
      <c r="AN124" s="63"/>
      <c r="AO124" s="63"/>
      <c r="AP124" s="63"/>
      <c r="AQ124" s="63"/>
      <c r="AR124" s="63"/>
      <c r="AS124" s="63"/>
      <c r="AT124" s="63"/>
      <c r="AU124" s="63"/>
      <c r="AV124" s="63"/>
      <c r="AW124" s="63"/>
      <c r="AX124" s="63"/>
      <c r="AY124" s="63"/>
    </row>
    <row r="125" spans="1:51" s="113" customFormat="1">
      <c r="A125" s="63"/>
      <c r="B125" s="63"/>
      <c r="C125" s="63"/>
      <c r="D125" s="63"/>
      <c r="E125" s="63"/>
      <c r="F125" s="63"/>
      <c r="G125" s="63"/>
      <c r="H125" s="63"/>
      <c r="I125" s="63"/>
      <c r="J125" s="63"/>
      <c r="K125" s="63"/>
      <c r="L125" s="63"/>
      <c r="M125" s="63"/>
      <c r="N125" s="63"/>
      <c r="O125" s="63"/>
      <c r="P125" s="63"/>
      <c r="Q125" s="63"/>
      <c r="R125" s="63"/>
      <c r="S125" s="63"/>
      <c r="T125" s="63"/>
      <c r="U125" s="63"/>
      <c r="V125" s="63"/>
      <c r="W125" s="63"/>
      <c r="X125" s="63"/>
      <c r="Y125" s="63"/>
      <c r="Z125" s="63"/>
      <c r="AA125" s="63"/>
      <c r="AB125" s="63"/>
      <c r="AC125" s="63"/>
      <c r="AD125" s="63"/>
      <c r="AE125" s="63"/>
      <c r="AF125" s="63"/>
      <c r="AG125" s="63"/>
      <c r="AH125" s="63"/>
      <c r="AI125" s="63"/>
      <c r="AJ125" s="63"/>
      <c r="AK125" s="63"/>
      <c r="AL125" s="63"/>
      <c r="AM125" s="63"/>
      <c r="AN125" s="63"/>
      <c r="AO125" s="63"/>
      <c r="AP125" s="63"/>
      <c r="AQ125" s="63"/>
      <c r="AR125" s="63"/>
      <c r="AS125" s="63"/>
      <c r="AT125" s="63"/>
      <c r="AU125" s="63"/>
      <c r="AV125" s="63"/>
      <c r="AW125" s="63"/>
      <c r="AX125" s="63"/>
      <c r="AY125" s="63"/>
    </row>
    <row r="126" spans="1:51" s="113" customFormat="1">
      <c r="A126" s="63"/>
      <c r="B126" s="63"/>
      <c r="C126" s="63"/>
      <c r="D126" s="63"/>
      <c r="E126" s="63"/>
      <c r="F126" s="63"/>
      <c r="G126" s="63"/>
      <c r="H126" s="63"/>
      <c r="I126" s="63"/>
      <c r="J126" s="63"/>
      <c r="K126" s="63"/>
      <c r="L126" s="63"/>
      <c r="M126" s="63"/>
      <c r="N126" s="63"/>
      <c r="O126" s="63"/>
      <c r="P126" s="63"/>
      <c r="Q126" s="63"/>
      <c r="R126" s="63"/>
      <c r="S126" s="63"/>
      <c r="T126" s="63"/>
      <c r="U126" s="63"/>
      <c r="V126" s="63"/>
      <c r="W126" s="63"/>
      <c r="X126" s="63"/>
      <c r="Y126" s="63"/>
      <c r="Z126" s="63"/>
      <c r="AA126" s="63"/>
      <c r="AB126" s="63"/>
      <c r="AC126" s="63"/>
      <c r="AD126" s="63"/>
      <c r="AE126" s="63"/>
      <c r="AF126" s="63"/>
      <c r="AG126" s="63"/>
      <c r="AH126" s="63"/>
      <c r="AI126" s="63"/>
      <c r="AJ126" s="63"/>
      <c r="AK126" s="63"/>
      <c r="AL126" s="63"/>
      <c r="AM126" s="63"/>
      <c r="AN126" s="63"/>
      <c r="AO126" s="63"/>
      <c r="AP126" s="63"/>
      <c r="AQ126" s="63"/>
      <c r="AR126" s="63"/>
      <c r="AS126" s="63"/>
      <c r="AT126" s="63"/>
      <c r="AU126" s="63"/>
      <c r="AV126" s="63"/>
      <c r="AW126" s="63"/>
      <c r="AX126" s="63"/>
      <c r="AY126" s="63"/>
    </row>
    <row r="127" spans="1:51" s="113" customFormat="1">
      <c r="A127" s="63"/>
      <c r="B127" s="63"/>
      <c r="C127" s="63"/>
      <c r="D127" s="63"/>
      <c r="E127" s="63"/>
      <c r="F127" s="63"/>
      <c r="G127" s="63"/>
      <c r="H127" s="63"/>
      <c r="I127" s="63"/>
      <c r="J127" s="63"/>
      <c r="K127" s="63"/>
      <c r="L127" s="63"/>
      <c r="M127" s="63"/>
      <c r="N127" s="63"/>
      <c r="O127" s="63"/>
      <c r="P127" s="63"/>
      <c r="Q127" s="63"/>
      <c r="R127" s="63"/>
      <c r="S127" s="63"/>
      <c r="T127" s="63"/>
      <c r="U127" s="63"/>
      <c r="V127" s="63"/>
      <c r="W127" s="63"/>
      <c r="X127" s="63"/>
      <c r="Y127" s="63"/>
      <c r="Z127" s="63"/>
      <c r="AA127" s="63"/>
      <c r="AB127" s="63"/>
      <c r="AC127" s="63"/>
      <c r="AD127" s="63"/>
      <c r="AE127" s="63"/>
      <c r="AF127" s="63"/>
      <c r="AG127" s="63"/>
      <c r="AH127" s="63"/>
      <c r="AI127" s="63"/>
      <c r="AJ127" s="63"/>
      <c r="AK127" s="63"/>
      <c r="AL127" s="63"/>
      <c r="AM127" s="63"/>
      <c r="AN127" s="63"/>
      <c r="AO127" s="63"/>
      <c r="AP127" s="63"/>
      <c r="AQ127" s="63"/>
      <c r="AR127" s="63"/>
      <c r="AS127" s="63"/>
      <c r="AT127" s="63"/>
      <c r="AU127" s="63"/>
      <c r="AV127" s="63"/>
      <c r="AW127" s="63"/>
      <c r="AX127" s="63"/>
      <c r="AY127" s="63"/>
    </row>
    <row r="128" spans="1:51" s="113" customFormat="1">
      <c r="A128" s="63"/>
      <c r="B128" s="63"/>
      <c r="C128" s="63"/>
      <c r="D128" s="63"/>
      <c r="E128" s="63"/>
      <c r="F128" s="63"/>
      <c r="G128" s="63"/>
      <c r="H128" s="63"/>
      <c r="I128" s="63"/>
      <c r="J128" s="63"/>
      <c r="K128" s="63"/>
      <c r="L128" s="63"/>
      <c r="M128" s="63"/>
      <c r="N128" s="63"/>
      <c r="O128" s="63"/>
      <c r="P128" s="63"/>
      <c r="Q128" s="63"/>
      <c r="R128" s="63"/>
      <c r="S128" s="63"/>
      <c r="T128" s="63"/>
      <c r="U128" s="63"/>
      <c r="V128" s="63"/>
      <c r="W128" s="63"/>
      <c r="X128" s="63"/>
      <c r="Y128" s="63"/>
      <c r="Z128" s="63"/>
      <c r="AA128" s="63"/>
      <c r="AB128" s="63"/>
      <c r="AC128" s="63"/>
      <c r="AD128" s="63"/>
      <c r="AE128" s="63"/>
      <c r="AF128" s="63"/>
      <c r="AG128" s="63"/>
      <c r="AH128" s="63"/>
      <c r="AI128" s="63"/>
      <c r="AJ128" s="63"/>
      <c r="AK128" s="63"/>
      <c r="AL128" s="63"/>
      <c r="AM128" s="63"/>
      <c r="AN128" s="63"/>
      <c r="AO128" s="63"/>
      <c r="AP128" s="63"/>
      <c r="AQ128" s="63"/>
      <c r="AR128" s="63"/>
      <c r="AS128" s="63"/>
      <c r="AT128" s="63"/>
      <c r="AU128" s="63"/>
      <c r="AV128" s="63"/>
      <c r="AW128" s="63"/>
      <c r="AX128" s="63"/>
      <c r="AY128" s="63"/>
    </row>
    <row r="129" spans="1:51" s="113" customFormat="1">
      <c r="A129" s="63"/>
      <c r="B129" s="63"/>
      <c r="C129" s="63"/>
      <c r="D129" s="63"/>
      <c r="E129" s="63"/>
      <c r="F129" s="63"/>
      <c r="G129" s="63"/>
      <c r="H129" s="63"/>
      <c r="I129" s="63"/>
      <c r="J129" s="63"/>
      <c r="K129" s="63"/>
      <c r="L129" s="63"/>
      <c r="M129" s="63"/>
      <c r="N129" s="63"/>
      <c r="O129" s="63"/>
      <c r="P129" s="63"/>
      <c r="Q129" s="63"/>
      <c r="R129" s="63"/>
      <c r="S129" s="63"/>
      <c r="T129" s="63"/>
      <c r="U129" s="63"/>
      <c r="V129" s="63"/>
      <c r="W129" s="63"/>
      <c r="X129" s="63"/>
      <c r="Y129" s="63"/>
      <c r="Z129" s="63"/>
      <c r="AA129" s="63"/>
      <c r="AB129" s="63"/>
      <c r="AC129" s="63"/>
      <c r="AD129" s="63"/>
      <c r="AE129" s="63"/>
      <c r="AF129" s="63"/>
      <c r="AG129" s="63"/>
      <c r="AH129" s="63"/>
      <c r="AI129" s="63"/>
      <c r="AJ129" s="63"/>
      <c r="AK129" s="63"/>
      <c r="AL129" s="63"/>
      <c r="AM129" s="63"/>
      <c r="AN129" s="63"/>
      <c r="AO129" s="63"/>
      <c r="AP129" s="63"/>
      <c r="AQ129" s="63"/>
      <c r="AR129" s="63"/>
      <c r="AS129" s="63"/>
      <c r="AT129" s="63"/>
      <c r="AU129" s="63"/>
      <c r="AV129" s="63"/>
      <c r="AW129" s="63"/>
      <c r="AX129" s="63"/>
      <c r="AY129" s="63"/>
    </row>
    <row r="130" spans="1:51" s="113" customFormat="1">
      <c r="A130" s="63"/>
      <c r="B130" s="63"/>
      <c r="C130" s="63"/>
      <c r="D130" s="63"/>
      <c r="E130" s="63"/>
      <c r="F130" s="63"/>
      <c r="G130" s="63"/>
      <c r="H130" s="63"/>
      <c r="I130" s="63"/>
      <c r="J130" s="63"/>
      <c r="K130" s="63"/>
      <c r="L130" s="63"/>
      <c r="M130" s="63"/>
      <c r="N130" s="63"/>
      <c r="O130" s="63"/>
      <c r="P130" s="63"/>
      <c r="Q130" s="63"/>
      <c r="R130" s="63"/>
      <c r="S130" s="63"/>
      <c r="T130" s="63"/>
      <c r="U130" s="63"/>
      <c r="V130" s="63"/>
      <c r="W130" s="63"/>
      <c r="X130" s="63"/>
      <c r="Y130" s="63"/>
      <c r="Z130" s="63"/>
      <c r="AA130" s="63"/>
      <c r="AB130" s="63"/>
      <c r="AC130" s="63"/>
      <c r="AD130" s="63"/>
      <c r="AE130" s="63"/>
      <c r="AF130" s="63"/>
      <c r="AG130" s="63"/>
      <c r="AH130" s="63"/>
      <c r="AI130" s="63"/>
      <c r="AJ130" s="63"/>
      <c r="AK130" s="63"/>
      <c r="AL130" s="63"/>
      <c r="AM130" s="63"/>
      <c r="AN130" s="63"/>
      <c r="AO130" s="63"/>
      <c r="AP130" s="63"/>
      <c r="AQ130" s="63"/>
      <c r="AR130" s="63"/>
      <c r="AS130" s="63"/>
      <c r="AT130" s="63"/>
      <c r="AU130" s="63"/>
      <c r="AV130" s="63"/>
      <c r="AW130" s="63"/>
      <c r="AX130" s="63"/>
      <c r="AY130" s="63"/>
    </row>
    <row r="131" spans="1:51" s="113" customFormat="1">
      <c r="A131" s="63"/>
      <c r="B131" s="63"/>
      <c r="C131" s="63"/>
      <c r="D131" s="63"/>
      <c r="E131" s="63"/>
      <c r="F131" s="63"/>
      <c r="G131" s="63"/>
      <c r="H131" s="63"/>
      <c r="I131" s="63"/>
      <c r="J131" s="63"/>
      <c r="K131" s="63"/>
      <c r="L131" s="63"/>
      <c r="M131" s="63"/>
      <c r="N131" s="63"/>
      <c r="O131" s="63"/>
      <c r="P131" s="63"/>
      <c r="Q131" s="63"/>
      <c r="R131" s="63"/>
      <c r="S131" s="63"/>
      <c r="T131" s="63"/>
      <c r="U131" s="63"/>
      <c r="V131" s="63"/>
      <c r="W131" s="63"/>
      <c r="X131" s="63"/>
      <c r="Y131" s="63"/>
      <c r="Z131" s="63"/>
      <c r="AA131" s="63"/>
      <c r="AB131" s="63"/>
      <c r="AC131" s="63"/>
      <c r="AD131" s="63"/>
      <c r="AE131" s="63"/>
      <c r="AF131" s="63"/>
      <c r="AG131" s="63"/>
      <c r="AH131" s="63"/>
      <c r="AI131" s="63"/>
      <c r="AJ131" s="63"/>
      <c r="AK131" s="63"/>
      <c r="AL131" s="63"/>
      <c r="AM131" s="63"/>
      <c r="AN131" s="63"/>
      <c r="AO131" s="63"/>
      <c r="AP131" s="63"/>
      <c r="AQ131" s="63"/>
      <c r="AR131" s="63"/>
      <c r="AS131" s="63"/>
      <c r="AT131" s="63"/>
      <c r="AU131" s="63"/>
      <c r="AV131" s="63"/>
      <c r="AW131" s="63"/>
      <c r="AX131" s="63"/>
      <c r="AY131" s="63"/>
    </row>
    <row r="132" spans="1:51" s="113" customFormat="1">
      <c r="A132" s="63"/>
      <c r="B132" s="63"/>
      <c r="C132" s="63"/>
      <c r="D132" s="63"/>
      <c r="E132" s="63"/>
      <c r="F132" s="63"/>
      <c r="G132" s="63"/>
      <c r="H132" s="63"/>
      <c r="I132" s="63"/>
      <c r="J132" s="63"/>
      <c r="K132" s="63"/>
      <c r="L132" s="63"/>
      <c r="M132" s="63"/>
      <c r="N132" s="63"/>
      <c r="O132" s="63"/>
      <c r="P132" s="63"/>
      <c r="Q132" s="63"/>
      <c r="R132" s="63"/>
      <c r="S132" s="63"/>
      <c r="T132" s="63"/>
      <c r="U132" s="63"/>
      <c r="V132" s="63"/>
      <c r="W132" s="63"/>
      <c r="X132" s="63"/>
      <c r="Y132" s="63"/>
      <c r="Z132" s="63"/>
      <c r="AA132" s="63"/>
      <c r="AB132" s="63"/>
      <c r="AC132" s="63"/>
      <c r="AD132" s="63"/>
      <c r="AE132" s="63"/>
      <c r="AF132" s="63"/>
      <c r="AG132" s="63"/>
      <c r="AH132" s="63"/>
      <c r="AI132" s="63"/>
      <c r="AJ132" s="63"/>
      <c r="AK132" s="63"/>
      <c r="AL132" s="63"/>
      <c r="AM132" s="63"/>
      <c r="AN132" s="63"/>
      <c r="AO132" s="63"/>
      <c r="AP132" s="63"/>
      <c r="AQ132" s="63"/>
      <c r="AR132" s="63"/>
      <c r="AS132" s="63"/>
      <c r="AT132" s="63"/>
      <c r="AU132" s="63"/>
      <c r="AV132" s="63"/>
      <c r="AW132" s="63"/>
      <c r="AX132" s="63"/>
      <c r="AY132" s="63"/>
    </row>
    <row r="133" spans="1:51" s="113" customFormat="1">
      <c r="A133" s="63"/>
      <c r="B133" s="63"/>
      <c r="C133" s="63"/>
      <c r="D133" s="63"/>
      <c r="E133" s="63"/>
      <c r="F133" s="63"/>
      <c r="G133" s="63"/>
      <c r="H133" s="63"/>
      <c r="I133" s="63"/>
      <c r="J133" s="63"/>
      <c r="K133" s="63"/>
      <c r="L133" s="63"/>
      <c r="M133" s="63"/>
      <c r="N133" s="63"/>
      <c r="O133" s="63"/>
      <c r="P133" s="63"/>
      <c r="Q133" s="63"/>
      <c r="R133" s="63"/>
      <c r="S133" s="63"/>
      <c r="T133" s="63"/>
      <c r="U133" s="63"/>
      <c r="V133" s="63"/>
      <c r="W133" s="63"/>
      <c r="X133" s="63"/>
      <c r="Y133" s="63"/>
      <c r="Z133" s="63"/>
      <c r="AA133" s="63"/>
      <c r="AB133" s="63"/>
      <c r="AC133" s="63"/>
      <c r="AD133" s="63"/>
      <c r="AE133" s="63"/>
      <c r="AF133" s="63"/>
      <c r="AG133" s="63"/>
      <c r="AH133" s="63"/>
      <c r="AI133" s="63"/>
      <c r="AJ133" s="63"/>
      <c r="AK133" s="63"/>
      <c r="AL133" s="63"/>
      <c r="AM133" s="63"/>
      <c r="AN133" s="63"/>
      <c r="AO133" s="63"/>
      <c r="AP133" s="63"/>
      <c r="AQ133" s="63"/>
      <c r="AR133" s="63"/>
      <c r="AS133" s="63"/>
      <c r="AT133" s="63"/>
      <c r="AU133" s="63"/>
      <c r="AV133" s="63"/>
      <c r="AW133" s="63"/>
      <c r="AX133" s="63"/>
      <c r="AY133" s="63"/>
    </row>
    <row r="134" spans="1:51" s="113" customFormat="1">
      <c r="A134" s="63"/>
      <c r="B134" s="63"/>
      <c r="C134" s="63"/>
      <c r="D134" s="63"/>
      <c r="E134" s="63"/>
      <c r="F134" s="63"/>
      <c r="G134" s="63"/>
      <c r="H134" s="63"/>
      <c r="I134" s="63"/>
      <c r="J134" s="63"/>
      <c r="K134" s="63"/>
      <c r="L134" s="63"/>
      <c r="M134" s="63"/>
      <c r="N134" s="63"/>
      <c r="O134" s="63"/>
      <c r="P134" s="63"/>
      <c r="Q134" s="63"/>
      <c r="R134" s="63"/>
      <c r="S134" s="63"/>
      <c r="T134" s="63"/>
      <c r="U134" s="63"/>
      <c r="V134" s="63"/>
      <c r="W134" s="63"/>
      <c r="X134" s="63"/>
      <c r="Y134" s="63"/>
      <c r="Z134" s="63"/>
      <c r="AA134" s="63"/>
      <c r="AB134" s="63"/>
      <c r="AC134" s="63"/>
      <c r="AD134" s="63"/>
      <c r="AE134" s="63"/>
      <c r="AF134" s="63"/>
      <c r="AG134" s="63"/>
      <c r="AH134" s="63"/>
      <c r="AI134" s="63"/>
      <c r="AJ134" s="63"/>
      <c r="AK134" s="63"/>
      <c r="AL134" s="63"/>
      <c r="AM134" s="63"/>
      <c r="AN134" s="63"/>
      <c r="AO134" s="63"/>
      <c r="AP134" s="63"/>
      <c r="AQ134" s="63"/>
      <c r="AR134" s="63"/>
      <c r="AS134" s="63"/>
      <c r="AT134" s="63"/>
      <c r="AU134" s="63"/>
      <c r="AV134" s="63"/>
      <c r="AW134" s="63"/>
      <c r="AX134" s="63"/>
      <c r="AY134" s="63"/>
    </row>
    <row r="135" spans="1:51" s="113" customFormat="1">
      <c r="A135" s="63"/>
      <c r="B135" s="63"/>
      <c r="C135" s="63"/>
      <c r="D135" s="63"/>
      <c r="E135" s="63"/>
      <c r="F135" s="63"/>
      <c r="G135" s="63"/>
      <c r="H135" s="63"/>
      <c r="I135" s="63"/>
      <c r="J135" s="63"/>
      <c r="K135" s="63"/>
      <c r="L135" s="63"/>
      <c r="M135" s="63"/>
      <c r="N135" s="63"/>
      <c r="O135" s="63"/>
      <c r="P135" s="63"/>
      <c r="Q135" s="63"/>
      <c r="R135" s="63"/>
      <c r="S135" s="63"/>
      <c r="T135" s="63"/>
      <c r="U135" s="63"/>
      <c r="V135" s="63"/>
      <c r="W135" s="63"/>
      <c r="X135" s="63"/>
      <c r="Y135" s="63"/>
      <c r="Z135" s="63"/>
      <c r="AA135" s="63"/>
      <c r="AB135" s="63"/>
      <c r="AC135" s="63"/>
      <c r="AD135" s="63"/>
      <c r="AE135" s="63"/>
      <c r="AF135" s="63"/>
      <c r="AG135" s="63"/>
      <c r="AH135" s="63"/>
      <c r="AI135" s="63"/>
      <c r="AJ135" s="63"/>
      <c r="AK135" s="63"/>
      <c r="AL135" s="63"/>
      <c r="AM135" s="63"/>
      <c r="AN135" s="63"/>
      <c r="AO135" s="63"/>
      <c r="AP135" s="63"/>
      <c r="AQ135" s="63"/>
      <c r="AR135" s="63"/>
      <c r="AS135" s="63"/>
      <c r="AT135" s="63"/>
      <c r="AU135" s="63"/>
      <c r="AV135" s="63"/>
      <c r="AW135" s="63"/>
      <c r="AX135" s="63"/>
      <c r="AY135" s="63"/>
    </row>
    <row r="136" spans="1:51">
      <c r="A136" s="63"/>
      <c r="B136" s="63"/>
      <c r="C136" s="63"/>
      <c r="D136" s="63"/>
      <c r="E136" s="63"/>
      <c r="F136" s="63"/>
      <c r="G136" s="63"/>
      <c r="H136" s="63"/>
      <c r="I136" s="63"/>
      <c r="J136" s="63"/>
      <c r="K136" s="63"/>
      <c r="L136" s="63"/>
      <c r="M136" s="63"/>
      <c r="N136" s="63"/>
      <c r="O136" s="63"/>
      <c r="P136" s="63"/>
      <c r="Q136" s="63"/>
      <c r="R136" s="63"/>
      <c r="S136" s="63"/>
      <c r="T136" s="63"/>
      <c r="U136" s="63"/>
      <c r="V136" s="63"/>
      <c r="W136" s="63"/>
      <c r="X136" s="63"/>
      <c r="Y136" s="63"/>
      <c r="Z136" s="63"/>
      <c r="AA136" s="63"/>
      <c r="AB136" s="63"/>
      <c r="AC136" s="63"/>
      <c r="AD136" s="63"/>
      <c r="AE136" s="63"/>
      <c r="AF136" s="63"/>
      <c r="AG136" s="63"/>
      <c r="AH136" s="63"/>
      <c r="AI136" s="63"/>
      <c r="AJ136" s="63"/>
      <c r="AK136" s="63"/>
      <c r="AL136" s="63"/>
      <c r="AM136" s="63"/>
      <c r="AN136" s="63"/>
      <c r="AO136" s="63"/>
      <c r="AP136" s="63"/>
      <c r="AQ136" s="63"/>
      <c r="AR136" s="63"/>
      <c r="AS136" s="63"/>
      <c r="AT136" s="63"/>
      <c r="AU136" s="63"/>
      <c r="AV136" s="63"/>
      <c r="AW136" s="63"/>
      <c r="AX136" s="63"/>
      <c r="AY136" s="63"/>
    </row>
    <row r="137" spans="1:51">
      <c r="A137" s="63"/>
      <c r="B137" s="63"/>
      <c r="C137" s="63"/>
      <c r="D137" s="63"/>
      <c r="E137" s="63"/>
      <c r="F137" s="63"/>
      <c r="G137" s="63"/>
      <c r="H137" s="63"/>
      <c r="I137" s="63"/>
      <c r="J137" s="63"/>
      <c r="K137" s="63"/>
      <c r="L137" s="63"/>
      <c r="M137" s="63"/>
      <c r="N137" s="63"/>
      <c r="O137" s="63"/>
      <c r="P137" s="63"/>
      <c r="Q137" s="63"/>
      <c r="R137" s="63"/>
      <c r="S137" s="63"/>
      <c r="T137" s="63"/>
      <c r="U137" s="63"/>
      <c r="V137" s="63"/>
      <c r="W137" s="63"/>
      <c r="X137" s="63"/>
      <c r="Y137" s="63"/>
      <c r="Z137" s="63"/>
      <c r="AA137" s="63"/>
      <c r="AB137" s="63"/>
      <c r="AC137" s="63"/>
      <c r="AD137" s="63"/>
      <c r="AE137" s="63"/>
      <c r="AF137" s="63"/>
      <c r="AG137" s="63"/>
      <c r="AH137" s="63"/>
      <c r="AI137" s="63"/>
      <c r="AJ137" s="63"/>
      <c r="AK137" s="63"/>
      <c r="AL137" s="63"/>
      <c r="AM137" s="63"/>
      <c r="AN137" s="63"/>
      <c r="AO137" s="63"/>
      <c r="AP137" s="63"/>
      <c r="AQ137" s="63"/>
      <c r="AR137" s="63"/>
      <c r="AS137" s="63"/>
      <c r="AT137" s="63"/>
      <c r="AU137" s="63"/>
      <c r="AV137" s="63"/>
      <c r="AW137" s="63"/>
      <c r="AX137" s="63"/>
      <c r="AY137" s="63"/>
    </row>
    <row r="138" spans="1:51">
      <c r="A138" s="63"/>
      <c r="B138" s="63"/>
      <c r="C138" s="63"/>
      <c r="D138" s="63"/>
      <c r="E138" s="63"/>
      <c r="F138" s="63"/>
      <c r="G138" s="63"/>
      <c r="H138" s="63"/>
      <c r="I138" s="63"/>
      <c r="J138" s="63"/>
      <c r="K138" s="63"/>
      <c r="L138" s="63"/>
      <c r="M138" s="63"/>
      <c r="N138" s="63"/>
      <c r="O138" s="63"/>
      <c r="P138" s="63"/>
      <c r="Q138" s="63"/>
      <c r="R138" s="63"/>
      <c r="S138" s="63"/>
      <c r="T138" s="63"/>
      <c r="U138" s="63"/>
      <c r="V138" s="63"/>
      <c r="W138" s="63"/>
      <c r="X138" s="63"/>
      <c r="Y138" s="63"/>
      <c r="Z138" s="63"/>
      <c r="AA138" s="63"/>
      <c r="AB138" s="63"/>
      <c r="AC138" s="63"/>
      <c r="AD138" s="63"/>
      <c r="AE138" s="63"/>
      <c r="AF138" s="63"/>
      <c r="AG138" s="63"/>
      <c r="AH138" s="63"/>
      <c r="AI138" s="63"/>
      <c r="AJ138" s="63"/>
      <c r="AK138" s="63"/>
      <c r="AL138" s="63"/>
      <c r="AM138" s="63"/>
      <c r="AN138" s="63"/>
      <c r="AO138" s="63"/>
      <c r="AP138" s="63"/>
      <c r="AQ138" s="63"/>
      <c r="AR138" s="63"/>
      <c r="AS138" s="63"/>
      <c r="AT138" s="63"/>
      <c r="AU138" s="63"/>
      <c r="AV138" s="63"/>
      <c r="AW138" s="63"/>
      <c r="AX138" s="63"/>
      <c r="AY138" s="63"/>
    </row>
    <row r="139" spans="1:51">
      <c r="A139" s="63"/>
      <c r="B139" s="63"/>
      <c r="C139" s="63"/>
      <c r="D139" s="63"/>
      <c r="E139" s="63"/>
      <c r="F139" s="63"/>
      <c r="G139" s="63"/>
      <c r="H139" s="63"/>
      <c r="I139" s="63"/>
      <c r="J139" s="63"/>
      <c r="K139" s="63"/>
      <c r="L139" s="63"/>
      <c r="M139" s="63"/>
      <c r="N139" s="63"/>
      <c r="O139" s="63"/>
      <c r="P139" s="63"/>
      <c r="Q139" s="63"/>
      <c r="R139" s="63"/>
      <c r="S139" s="63"/>
      <c r="T139" s="63"/>
      <c r="U139" s="63"/>
      <c r="V139" s="63"/>
      <c r="W139" s="63"/>
      <c r="X139" s="63"/>
      <c r="Y139" s="63"/>
      <c r="Z139" s="63"/>
      <c r="AA139" s="63"/>
      <c r="AB139" s="63"/>
      <c r="AC139" s="63"/>
      <c r="AD139" s="63"/>
      <c r="AE139" s="63"/>
      <c r="AF139" s="63"/>
      <c r="AG139" s="63"/>
      <c r="AH139" s="63"/>
      <c r="AI139" s="63"/>
      <c r="AJ139" s="63"/>
      <c r="AK139" s="63"/>
      <c r="AL139" s="63"/>
      <c r="AM139" s="63"/>
      <c r="AN139" s="63"/>
      <c r="AO139" s="63"/>
      <c r="AP139" s="63"/>
      <c r="AQ139" s="63"/>
      <c r="AR139" s="63"/>
      <c r="AS139" s="63"/>
      <c r="AT139" s="63"/>
      <c r="AU139" s="63"/>
      <c r="AV139" s="63"/>
      <c r="AW139" s="63"/>
      <c r="AX139" s="63"/>
      <c r="AY139" s="63"/>
    </row>
    <row r="140" spans="1:51">
      <c r="A140" s="63"/>
      <c r="B140" s="63"/>
      <c r="C140" s="63"/>
      <c r="D140" s="63"/>
      <c r="E140" s="63"/>
      <c r="F140" s="63"/>
      <c r="G140" s="63"/>
      <c r="H140" s="63"/>
      <c r="I140" s="63"/>
      <c r="J140" s="63"/>
      <c r="K140" s="63"/>
      <c r="L140" s="63"/>
      <c r="M140" s="63"/>
      <c r="N140" s="63"/>
      <c r="O140" s="63"/>
      <c r="P140" s="63"/>
      <c r="Q140" s="63"/>
      <c r="R140" s="63"/>
      <c r="S140" s="63"/>
      <c r="T140" s="63"/>
      <c r="U140" s="63"/>
      <c r="V140" s="63"/>
      <c r="W140" s="63"/>
      <c r="X140" s="63"/>
      <c r="Y140" s="63"/>
      <c r="Z140" s="63"/>
      <c r="AA140" s="63"/>
      <c r="AB140" s="63"/>
      <c r="AC140" s="63"/>
      <c r="AD140" s="63"/>
      <c r="AE140" s="63"/>
      <c r="AF140" s="63"/>
      <c r="AG140" s="63"/>
      <c r="AH140" s="63"/>
      <c r="AI140" s="63"/>
      <c r="AJ140" s="63"/>
      <c r="AK140" s="63"/>
      <c r="AL140" s="63"/>
      <c r="AM140" s="63"/>
      <c r="AN140" s="63"/>
      <c r="AO140" s="63"/>
      <c r="AP140" s="63"/>
      <c r="AQ140" s="63"/>
      <c r="AR140" s="63"/>
      <c r="AS140" s="63"/>
      <c r="AT140" s="63"/>
      <c r="AU140" s="63"/>
      <c r="AV140" s="63"/>
      <c r="AW140" s="63"/>
      <c r="AX140" s="63"/>
      <c r="AY140" s="63"/>
    </row>
    <row r="141" spans="1:51">
      <c r="A141" s="63"/>
      <c r="B141" s="63"/>
      <c r="C141" s="63"/>
      <c r="D141" s="63"/>
      <c r="E141" s="63"/>
      <c r="F141" s="63"/>
      <c r="G141" s="63"/>
      <c r="H141" s="63"/>
      <c r="I141" s="63"/>
      <c r="J141" s="63"/>
      <c r="K141" s="63"/>
      <c r="L141" s="63"/>
      <c r="M141" s="63"/>
      <c r="N141" s="63"/>
      <c r="O141" s="63"/>
      <c r="P141" s="63"/>
      <c r="Q141" s="63"/>
      <c r="R141" s="63"/>
      <c r="S141" s="63"/>
      <c r="T141" s="63"/>
      <c r="U141" s="63"/>
      <c r="V141" s="63"/>
      <c r="W141" s="63"/>
      <c r="X141" s="63"/>
      <c r="Y141" s="63"/>
      <c r="Z141" s="63"/>
      <c r="AA141" s="63"/>
      <c r="AB141" s="63"/>
      <c r="AC141" s="63"/>
      <c r="AD141" s="63"/>
      <c r="AE141" s="63"/>
      <c r="AF141" s="63"/>
      <c r="AG141" s="63"/>
      <c r="AH141" s="63"/>
      <c r="AI141" s="63"/>
      <c r="AJ141" s="63"/>
      <c r="AK141" s="63"/>
      <c r="AL141" s="63"/>
      <c r="AM141" s="63"/>
      <c r="AN141" s="63"/>
      <c r="AO141" s="63"/>
      <c r="AP141" s="63"/>
      <c r="AQ141" s="63"/>
      <c r="AR141" s="63"/>
      <c r="AS141" s="63"/>
      <c r="AT141" s="63"/>
      <c r="AU141" s="63"/>
      <c r="AV141" s="63"/>
      <c r="AW141" s="63"/>
      <c r="AX141" s="63"/>
      <c r="AY141" s="63"/>
    </row>
    <row r="142" spans="1:51">
      <c r="A142" s="63"/>
      <c r="B142" s="63"/>
      <c r="C142" s="63"/>
      <c r="D142" s="63"/>
      <c r="E142" s="63"/>
      <c r="F142" s="63"/>
      <c r="G142" s="63"/>
      <c r="H142" s="63"/>
      <c r="I142" s="63"/>
      <c r="J142" s="63"/>
      <c r="K142" s="63"/>
      <c r="L142" s="63"/>
      <c r="M142" s="63"/>
      <c r="N142" s="63"/>
      <c r="O142" s="63"/>
      <c r="P142" s="63"/>
      <c r="Q142" s="63"/>
      <c r="R142" s="63"/>
      <c r="S142" s="63"/>
      <c r="T142" s="63"/>
      <c r="U142" s="63"/>
      <c r="V142" s="63"/>
      <c r="W142" s="63"/>
      <c r="X142" s="63"/>
      <c r="Y142" s="63"/>
      <c r="Z142" s="63"/>
      <c r="AA142" s="63"/>
      <c r="AB142" s="63"/>
      <c r="AC142" s="63"/>
      <c r="AD142" s="63"/>
      <c r="AE142" s="63"/>
      <c r="AF142" s="63"/>
      <c r="AG142" s="63"/>
      <c r="AH142" s="63"/>
      <c r="AI142" s="63"/>
      <c r="AJ142" s="63"/>
      <c r="AK142" s="63"/>
      <c r="AL142" s="63"/>
      <c r="AM142" s="63"/>
      <c r="AN142" s="63"/>
      <c r="AO142" s="63"/>
      <c r="AP142" s="63"/>
      <c r="AQ142" s="63"/>
      <c r="AR142" s="63"/>
      <c r="AS142" s="63"/>
      <c r="AT142" s="63"/>
      <c r="AU142" s="63"/>
      <c r="AV142" s="63"/>
      <c r="AW142" s="63"/>
      <c r="AX142" s="63"/>
      <c r="AY142" s="63"/>
    </row>
    <row r="143" spans="1:51">
      <c r="A143" s="63"/>
      <c r="B143" s="63"/>
      <c r="C143" s="63"/>
      <c r="D143" s="63"/>
      <c r="E143" s="63"/>
      <c r="F143" s="63"/>
      <c r="G143" s="63"/>
      <c r="H143" s="63"/>
      <c r="I143" s="63"/>
      <c r="J143" s="63"/>
      <c r="K143" s="63"/>
      <c r="L143" s="63"/>
      <c r="M143" s="63"/>
      <c r="N143" s="63"/>
      <c r="O143" s="63"/>
      <c r="P143" s="63"/>
      <c r="Q143" s="63"/>
      <c r="R143" s="63"/>
      <c r="S143" s="63"/>
      <c r="T143" s="63"/>
      <c r="U143" s="63"/>
      <c r="V143" s="63"/>
      <c r="W143" s="63"/>
      <c r="X143" s="63"/>
      <c r="Y143" s="63"/>
      <c r="Z143" s="63"/>
      <c r="AA143" s="63"/>
      <c r="AB143" s="63"/>
      <c r="AC143" s="63"/>
      <c r="AD143" s="63"/>
      <c r="AE143" s="63"/>
      <c r="AF143" s="63"/>
      <c r="AG143" s="63"/>
      <c r="AH143" s="63"/>
      <c r="AI143" s="63"/>
      <c r="AJ143" s="63"/>
      <c r="AK143" s="63"/>
      <c r="AL143" s="63"/>
      <c r="AM143" s="63"/>
      <c r="AN143" s="63"/>
      <c r="AO143" s="63"/>
      <c r="AP143" s="63"/>
      <c r="AQ143" s="63"/>
      <c r="AR143" s="63"/>
      <c r="AS143" s="63"/>
      <c r="AT143" s="63"/>
      <c r="AU143" s="63"/>
      <c r="AV143" s="63"/>
      <c r="AW143" s="63"/>
      <c r="AX143" s="63"/>
      <c r="AY143" s="63"/>
    </row>
    <row r="144" spans="1:51">
      <c r="A144" s="63"/>
      <c r="B144" s="63"/>
      <c r="C144" s="63"/>
      <c r="D144" s="63"/>
      <c r="E144" s="63"/>
      <c r="F144" s="63"/>
      <c r="G144" s="63"/>
      <c r="H144" s="63"/>
      <c r="I144" s="63"/>
      <c r="J144" s="63"/>
      <c r="K144" s="63"/>
      <c r="L144" s="63"/>
      <c r="M144" s="63"/>
      <c r="N144" s="63"/>
      <c r="O144" s="63"/>
      <c r="P144" s="63"/>
      <c r="Q144" s="63"/>
      <c r="R144" s="63"/>
      <c r="S144" s="63"/>
      <c r="T144" s="63"/>
      <c r="U144" s="63"/>
      <c r="V144" s="63"/>
      <c r="W144" s="63"/>
      <c r="X144" s="63"/>
      <c r="Y144" s="63"/>
      <c r="Z144" s="63"/>
      <c r="AA144" s="63"/>
      <c r="AB144" s="63"/>
      <c r="AC144" s="63"/>
      <c r="AD144" s="63"/>
      <c r="AE144" s="63"/>
      <c r="AF144" s="63"/>
      <c r="AG144" s="63"/>
      <c r="AH144" s="63"/>
      <c r="AI144" s="63"/>
      <c r="AJ144" s="63"/>
      <c r="AK144" s="63"/>
      <c r="AL144" s="63"/>
      <c r="AM144" s="63"/>
      <c r="AN144" s="63"/>
      <c r="AO144" s="63"/>
      <c r="AP144" s="63"/>
      <c r="AQ144" s="63"/>
      <c r="AR144" s="63"/>
      <c r="AS144" s="63"/>
      <c r="AT144" s="63"/>
      <c r="AU144" s="63"/>
      <c r="AV144" s="63"/>
      <c r="AW144" s="63"/>
      <c r="AX144" s="63"/>
      <c r="AY144" s="63"/>
    </row>
    <row r="145" spans="1:51">
      <c r="A145" s="63"/>
      <c r="B145" s="63"/>
      <c r="C145" s="63"/>
      <c r="D145" s="63"/>
      <c r="E145" s="63"/>
      <c r="F145" s="63"/>
      <c r="G145" s="63"/>
      <c r="H145" s="63"/>
      <c r="I145" s="63"/>
      <c r="J145" s="63"/>
      <c r="K145" s="63"/>
      <c r="L145" s="63"/>
      <c r="M145" s="63"/>
      <c r="N145" s="63"/>
      <c r="O145" s="63"/>
      <c r="P145" s="63"/>
      <c r="Q145" s="63"/>
      <c r="R145" s="63"/>
      <c r="S145" s="63"/>
      <c r="T145" s="63"/>
      <c r="U145" s="63"/>
      <c r="V145" s="63"/>
      <c r="W145" s="63"/>
      <c r="X145" s="63"/>
      <c r="Y145" s="63"/>
      <c r="Z145" s="63"/>
      <c r="AA145" s="63"/>
      <c r="AB145" s="63"/>
      <c r="AC145" s="63"/>
      <c r="AD145" s="63"/>
      <c r="AE145" s="63"/>
      <c r="AF145" s="63"/>
      <c r="AG145" s="63"/>
      <c r="AH145" s="63"/>
      <c r="AI145" s="63"/>
      <c r="AJ145" s="63"/>
      <c r="AK145" s="63"/>
      <c r="AL145" s="63"/>
      <c r="AM145" s="63"/>
      <c r="AN145" s="63"/>
      <c r="AO145" s="63"/>
      <c r="AP145" s="63"/>
      <c r="AQ145" s="63"/>
      <c r="AR145" s="63"/>
      <c r="AS145" s="63"/>
      <c r="AT145" s="63"/>
      <c r="AU145" s="63"/>
      <c r="AV145" s="63"/>
      <c r="AW145" s="63"/>
      <c r="AX145" s="63"/>
      <c r="AY145" s="63"/>
    </row>
  </sheetData>
  <sheetProtection algorithmName="SHA-512" hashValue="K9VT8kw2TarLbi9TShuOerDvuqGZ6GeBHVO4mEaYFz9Ccbt6/kvEwvYjYin0cxSRJeI22eimFGc37WqlJndAjg==" saltValue="swpx9SjtLHiiHNHlC+v/TA==" spinCount="100000" sheet="1" scenarios="1" formatCells="0" formatColumns="0" formatRows="0" insertColumns="0" insertRows="0" deleteColumns="0" deleteRows="0" selectLockedCells="1"/>
  <mergeCells count="33">
    <mergeCell ref="A35:AN65"/>
    <mergeCell ref="A2:AH4"/>
    <mergeCell ref="E5:F5"/>
    <mergeCell ref="H5:I5"/>
    <mergeCell ref="J5:K5"/>
    <mergeCell ref="Z5:AB5"/>
    <mergeCell ref="AC5:AF5"/>
    <mergeCell ref="AG5:AI5"/>
    <mergeCell ref="D14:Q14"/>
    <mergeCell ref="U14:AN14"/>
    <mergeCell ref="D17:Q17"/>
    <mergeCell ref="U17:AN17"/>
    <mergeCell ref="D20:Q20"/>
    <mergeCell ref="U20:AN20"/>
    <mergeCell ref="AJ5:AM5"/>
    <mergeCell ref="D7:Q7"/>
    <mergeCell ref="U7:AN7"/>
    <mergeCell ref="D8:Q8"/>
    <mergeCell ref="U8:AN8"/>
    <mergeCell ref="D11:Q11"/>
    <mergeCell ref="U11:AN11"/>
    <mergeCell ref="A33:AN34"/>
    <mergeCell ref="D30:Q30"/>
    <mergeCell ref="A32:J32"/>
    <mergeCell ref="K32:Q32"/>
    <mergeCell ref="R32:X32"/>
    <mergeCell ref="Y32:AN32"/>
    <mergeCell ref="D23:Q23"/>
    <mergeCell ref="U23:AN23"/>
    <mergeCell ref="D26:Q26"/>
    <mergeCell ref="U26:AN26"/>
    <mergeCell ref="D29:Q29"/>
    <mergeCell ref="V29:AN29"/>
  </mergeCells>
  <printOptions horizontalCentered="1"/>
  <pageMargins left="0.6692913385826772" right="0.47244094488188981" top="0.59055118110236227" bottom="0.31496062992125984" header="0.31496062992125984" footer="0.19685039370078741"/>
  <pageSetup paperSize="9" scale="67" orientation="portrait" r:id="rId1"/>
  <headerFooter>
    <oddHeader>&amp;R&amp;G</oddHeader>
    <oddFooter>&amp;LMHG-PU-F-0019&amp;CPPA-Template ; Rev.: 01/2019&amp;RJ.-U. Liedtke / PU-SD-GA</oddFooter>
  </headerFooter>
  <legacyDrawingHF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6">
    <pageSetUpPr fitToPage="1"/>
  </sheetPr>
  <dimension ref="A1:CO134"/>
  <sheetViews>
    <sheetView showGridLines="0" zoomScaleNormal="100" workbookViewId="0">
      <selection activeCell="AB43" sqref="AB43:AN43"/>
    </sheetView>
  </sheetViews>
  <sheetFormatPr baseColWidth="10" defaultColWidth="9.140625" defaultRowHeight="12.75"/>
  <cols>
    <col min="1" max="1" width="0.7109375" style="24" customWidth="1"/>
    <col min="2" max="2" width="3" style="24" customWidth="1"/>
    <col min="3" max="3" width="0.7109375" style="24" customWidth="1"/>
    <col min="4" max="4" width="3" style="24" customWidth="1"/>
    <col min="5" max="5" width="4.85546875" style="24" customWidth="1"/>
    <col min="6" max="6" width="6.7109375" style="24" customWidth="1"/>
    <col min="7" max="7" width="8.28515625" style="24" customWidth="1"/>
    <col min="8" max="9" width="3.42578125" style="24" customWidth="1"/>
    <col min="10" max="10" width="4.28515625" style="24" customWidth="1"/>
    <col min="11" max="11" width="4" style="24" customWidth="1"/>
    <col min="12" max="12" width="3.85546875" style="24" customWidth="1"/>
    <col min="13" max="13" width="4.7109375" style="24" customWidth="1"/>
    <col min="14" max="14" width="3.140625" style="24" customWidth="1"/>
    <col min="15" max="15" width="3.42578125" style="24" customWidth="1"/>
    <col min="16" max="16" width="5.140625" style="24" customWidth="1"/>
    <col min="17" max="17" width="1.7109375" style="24" customWidth="1"/>
    <col min="18" max="18" width="0.7109375" style="24" customWidth="1"/>
    <col min="19" max="19" width="3" style="24" customWidth="1"/>
    <col min="20" max="20" width="0.7109375" style="24" customWidth="1"/>
    <col min="21" max="21" width="3.7109375" style="24" customWidth="1"/>
    <col min="22" max="22" width="3.140625" style="24" customWidth="1"/>
    <col min="23" max="23" width="3.42578125" style="24" customWidth="1"/>
    <col min="24" max="24" width="4" style="24" customWidth="1"/>
    <col min="25" max="25" width="3.42578125" style="24" customWidth="1"/>
    <col min="26" max="26" width="3.7109375" style="24" customWidth="1"/>
    <col min="27" max="31" width="3.42578125" style="24" customWidth="1"/>
    <col min="32" max="32" width="2.42578125" style="24" customWidth="1"/>
    <col min="33" max="33" width="3.7109375" style="24" customWidth="1"/>
    <col min="34" max="39" width="3.42578125" style="24" customWidth="1"/>
    <col min="40" max="40" width="2.7109375" style="24" customWidth="1"/>
    <col min="41" max="71" width="9.140625" style="113"/>
    <col min="72" max="16384" width="9.140625" style="24"/>
  </cols>
  <sheetData>
    <row r="1" spans="1:40" ht="9" customHeight="1"/>
    <row r="2" spans="1:40">
      <c r="A2" s="912" t="str">
        <f>VLOOKUP("prozessbezogene und sonstige dokumente",Translations!$A:$T,MATCH(Cover!DR19,Translations!A2:P2,0),0)</f>
        <v>Process-related and other documents</v>
      </c>
      <c r="B2" s="912"/>
      <c r="C2" s="912"/>
      <c r="D2" s="912"/>
      <c r="E2" s="912"/>
      <c r="F2" s="912"/>
      <c r="G2" s="912"/>
      <c r="H2" s="912"/>
      <c r="I2" s="912"/>
      <c r="J2" s="912"/>
      <c r="K2" s="912"/>
      <c r="L2" s="912"/>
      <c r="M2" s="912"/>
      <c r="N2" s="912"/>
      <c r="O2" s="912"/>
      <c r="P2" s="912"/>
      <c r="Q2" s="912"/>
      <c r="R2" s="912"/>
      <c r="S2" s="912"/>
      <c r="T2" s="912"/>
      <c r="U2" s="912"/>
      <c r="V2" s="912"/>
      <c r="W2" s="912"/>
      <c r="X2" s="912"/>
      <c r="Y2" s="912"/>
      <c r="Z2" s="912"/>
      <c r="AA2" s="912"/>
      <c r="AB2" s="912"/>
      <c r="AC2" s="912"/>
      <c r="AD2" s="912"/>
      <c r="AE2" s="912"/>
      <c r="AF2" s="912"/>
      <c r="AG2" s="912"/>
      <c r="AH2" s="912"/>
    </row>
    <row r="3" spans="1:40">
      <c r="A3" s="912"/>
      <c r="B3" s="912"/>
      <c r="C3" s="912"/>
      <c r="D3" s="912"/>
      <c r="E3" s="912"/>
      <c r="F3" s="912"/>
      <c r="G3" s="912"/>
      <c r="H3" s="912"/>
      <c r="I3" s="912"/>
      <c r="J3" s="912"/>
      <c r="K3" s="912"/>
      <c r="L3" s="912"/>
      <c r="M3" s="912"/>
      <c r="N3" s="912"/>
      <c r="O3" s="912"/>
      <c r="P3" s="912"/>
      <c r="Q3" s="912"/>
      <c r="R3" s="912"/>
      <c r="S3" s="912"/>
      <c r="T3" s="912"/>
      <c r="U3" s="912"/>
      <c r="V3" s="912"/>
      <c r="W3" s="912"/>
      <c r="X3" s="912"/>
      <c r="Y3" s="912"/>
      <c r="Z3" s="912"/>
      <c r="AA3" s="912"/>
      <c r="AB3" s="912"/>
      <c r="AC3" s="912"/>
      <c r="AD3" s="912"/>
      <c r="AE3" s="912"/>
      <c r="AF3" s="912"/>
      <c r="AG3" s="912"/>
      <c r="AH3" s="912"/>
    </row>
    <row r="4" spans="1:40" ht="10.5" customHeight="1">
      <c r="A4" s="912"/>
      <c r="B4" s="912"/>
      <c r="C4" s="912"/>
      <c r="D4" s="912"/>
      <c r="E4" s="912"/>
      <c r="F4" s="912"/>
      <c r="G4" s="912"/>
      <c r="H4" s="912"/>
      <c r="I4" s="912"/>
      <c r="J4" s="912"/>
      <c r="K4" s="912"/>
      <c r="L4" s="912"/>
      <c r="M4" s="912"/>
      <c r="N4" s="912"/>
      <c r="O4" s="912"/>
      <c r="P4" s="912"/>
      <c r="Q4" s="912"/>
      <c r="R4" s="912"/>
      <c r="S4" s="912"/>
      <c r="T4" s="912"/>
      <c r="U4" s="912"/>
      <c r="V4" s="912"/>
      <c r="W4" s="912"/>
      <c r="X4" s="912"/>
      <c r="Y4" s="912"/>
      <c r="Z4" s="912"/>
      <c r="AA4" s="912"/>
      <c r="AB4" s="912"/>
      <c r="AC4" s="912"/>
      <c r="AD4" s="912"/>
      <c r="AE4" s="912"/>
      <c r="AF4" s="912"/>
      <c r="AG4" s="912"/>
      <c r="AH4" s="912"/>
    </row>
    <row r="5" spans="1:40" ht="15">
      <c r="E5" s="1186" t="str">
        <f>VLOOKUP("blatt",Translations!$A:$T,MATCH(Cover!DR19,Translations!A2:P2,0),0)</f>
        <v>Page</v>
      </c>
      <c r="F5" s="1186"/>
      <c r="G5" s="72"/>
      <c r="H5" s="1186" t="str">
        <f>VLOOKUP("vonvv",Translations!$A:$T,MATCH(Cover!DR19,Translations!A2:P2,0),0)</f>
        <v>of</v>
      </c>
      <c r="I5" s="1186"/>
      <c r="J5" s="1151"/>
      <c r="K5" s="1151"/>
      <c r="Z5" s="1186" t="str">
        <f>VLOOKUP("standyy",Translations!$A:$T,MATCH(Cover!DR19,Translations!A2:P2,0),0)</f>
        <v>Status:</v>
      </c>
      <c r="AA5" s="1186"/>
      <c r="AB5" s="1186"/>
      <c r="AC5" s="1157"/>
      <c r="AD5" s="1157"/>
      <c r="AE5" s="1157"/>
      <c r="AF5" s="1157"/>
      <c r="AG5" s="1186" t="str">
        <f>VLOOKUP("ydatumf",Translations!$A:$T,MATCH(Cover!DR19,Translations!A2:P2,0),0)</f>
        <v>/ Date:</v>
      </c>
      <c r="AH5" s="1186"/>
      <c r="AI5" s="1186"/>
      <c r="AJ5" s="1150"/>
      <c r="AK5" s="1151"/>
      <c r="AL5" s="1151"/>
      <c r="AM5" s="1151"/>
    </row>
    <row r="6" spans="1:40" ht="4.5" customHeight="1" thickBot="1"/>
    <row r="7" spans="1:40" ht="3" customHeight="1">
      <c r="A7" s="59"/>
      <c r="B7" s="268"/>
      <c r="C7" s="268"/>
      <c r="D7" s="1192"/>
      <c r="E7" s="1192"/>
      <c r="F7" s="1192"/>
      <c r="G7" s="1192"/>
      <c r="H7" s="1192"/>
      <c r="I7" s="1192"/>
      <c r="J7" s="1192"/>
      <c r="K7" s="1192"/>
      <c r="L7" s="1192"/>
      <c r="M7" s="1192"/>
      <c r="N7" s="1192"/>
      <c r="O7" s="1192"/>
      <c r="P7" s="1192"/>
      <c r="Q7" s="1193"/>
      <c r="R7" s="59"/>
      <c r="S7" s="268"/>
      <c r="T7" s="268"/>
      <c r="U7" s="1192"/>
      <c r="V7" s="1192"/>
      <c r="W7" s="1192"/>
      <c r="X7" s="1192"/>
      <c r="Y7" s="1192"/>
      <c r="Z7" s="1192"/>
      <c r="AA7" s="1192"/>
      <c r="AB7" s="1192"/>
      <c r="AC7" s="1192"/>
      <c r="AD7" s="1192"/>
      <c r="AE7" s="1192"/>
      <c r="AF7" s="1192"/>
      <c r="AG7" s="1192"/>
      <c r="AH7" s="1192"/>
      <c r="AI7" s="1192"/>
      <c r="AJ7" s="1192"/>
      <c r="AK7" s="1192"/>
      <c r="AL7" s="1192"/>
      <c r="AM7" s="1192"/>
      <c r="AN7" s="1193"/>
    </row>
    <row r="8" spans="1:40" ht="15.75" customHeight="1">
      <c r="A8" s="42"/>
      <c r="B8" s="271"/>
      <c r="C8" s="31"/>
      <c r="D8" s="1353" t="str">
        <f>Cover!AB23</f>
        <v>8 Software test report</v>
      </c>
      <c r="E8" s="1353"/>
      <c r="F8" s="1353"/>
      <c r="G8" s="1353"/>
      <c r="H8" s="1353"/>
      <c r="I8" s="1353"/>
      <c r="J8" s="1353"/>
      <c r="K8" s="1353"/>
      <c r="L8" s="1353"/>
      <c r="M8" s="1353"/>
      <c r="N8" s="1353"/>
      <c r="O8" s="1353"/>
      <c r="P8" s="1353"/>
      <c r="Q8" s="1354"/>
      <c r="R8" s="42"/>
      <c r="S8" s="271"/>
      <c r="T8" s="31"/>
      <c r="U8" s="1353" t="str">
        <f>Cover!BU23</f>
        <v>16 Tooling list</v>
      </c>
      <c r="V8" s="1353"/>
      <c r="W8" s="1353"/>
      <c r="X8" s="1353"/>
      <c r="Y8" s="1353"/>
      <c r="Z8" s="1353"/>
      <c r="AA8" s="1353"/>
      <c r="AB8" s="1353"/>
      <c r="AC8" s="1353"/>
      <c r="AD8" s="1353"/>
      <c r="AE8" s="1353"/>
      <c r="AF8" s="1353"/>
      <c r="AG8" s="1353"/>
      <c r="AH8" s="1353"/>
      <c r="AI8" s="1353"/>
      <c r="AJ8" s="1353"/>
      <c r="AK8" s="1353"/>
      <c r="AL8" s="1353"/>
      <c r="AM8" s="1353"/>
      <c r="AN8" s="1354"/>
    </row>
    <row r="9" spans="1:40" ht="3" customHeight="1">
      <c r="A9" s="42"/>
      <c r="B9" s="31"/>
      <c r="C9" s="31"/>
      <c r="D9" s="276"/>
      <c r="E9" s="276"/>
      <c r="F9" s="276"/>
      <c r="G9" s="276"/>
      <c r="H9" s="276"/>
      <c r="I9" s="276"/>
      <c r="J9" s="276"/>
      <c r="K9" s="276"/>
      <c r="L9" s="276"/>
      <c r="M9" s="276"/>
      <c r="N9" s="276"/>
      <c r="O9" s="276"/>
      <c r="P9" s="276"/>
      <c r="Q9" s="277"/>
      <c r="R9" s="42"/>
      <c r="S9" s="31"/>
      <c r="T9" s="31"/>
      <c r="U9" s="276"/>
      <c r="V9" s="276"/>
      <c r="W9" s="276"/>
      <c r="X9" s="276"/>
      <c r="Y9" s="276"/>
      <c r="Z9" s="276"/>
      <c r="AA9" s="276"/>
      <c r="AB9" s="276"/>
      <c r="AC9" s="276"/>
      <c r="AD9" s="276"/>
      <c r="AE9" s="276"/>
      <c r="AF9" s="276"/>
      <c r="AG9" s="276"/>
      <c r="AH9" s="276"/>
      <c r="AI9" s="276"/>
      <c r="AJ9" s="276"/>
      <c r="AK9" s="276"/>
      <c r="AL9" s="276"/>
      <c r="AM9" s="276"/>
      <c r="AN9" s="277"/>
    </row>
    <row r="10" spans="1:40" ht="3" customHeight="1">
      <c r="A10" s="42"/>
      <c r="B10" s="31"/>
      <c r="C10" s="31"/>
      <c r="D10" s="276"/>
      <c r="E10" s="276"/>
      <c r="F10" s="276"/>
      <c r="G10" s="276"/>
      <c r="H10" s="276"/>
      <c r="I10" s="276"/>
      <c r="J10" s="276"/>
      <c r="K10" s="276"/>
      <c r="L10" s="276"/>
      <c r="M10" s="276"/>
      <c r="N10" s="276"/>
      <c r="O10" s="276"/>
      <c r="P10" s="276"/>
      <c r="Q10" s="277"/>
      <c r="R10" s="42"/>
      <c r="S10" s="31"/>
      <c r="T10" s="31"/>
      <c r="U10" s="276"/>
      <c r="V10" s="276"/>
      <c r="W10" s="276"/>
      <c r="X10" s="276"/>
      <c r="Y10" s="276"/>
      <c r="Z10" s="276"/>
      <c r="AA10" s="276"/>
      <c r="AB10" s="276"/>
      <c r="AC10" s="276"/>
      <c r="AD10" s="276"/>
      <c r="AE10" s="276"/>
      <c r="AF10" s="276"/>
      <c r="AG10" s="276"/>
      <c r="AH10" s="276"/>
      <c r="AI10" s="276"/>
      <c r="AJ10" s="276"/>
      <c r="AK10" s="276"/>
      <c r="AL10" s="276"/>
      <c r="AM10" s="276"/>
      <c r="AN10" s="277"/>
    </row>
    <row r="11" spans="1:40" ht="15.75" customHeight="1">
      <c r="A11" s="42"/>
      <c r="B11" s="271"/>
      <c r="C11" s="31"/>
      <c r="D11" s="1353" t="str">
        <f>Cover!AB25</f>
        <v>9 Process – FMEA</v>
      </c>
      <c r="E11" s="1353"/>
      <c r="F11" s="1353"/>
      <c r="G11" s="1353"/>
      <c r="H11" s="1353"/>
      <c r="I11" s="1353"/>
      <c r="J11" s="1353"/>
      <c r="K11" s="1353"/>
      <c r="L11" s="1353"/>
      <c r="M11" s="1353"/>
      <c r="N11" s="1353"/>
      <c r="O11" s="1353"/>
      <c r="P11" s="1353"/>
      <c r="Q11" s="1354"/>
      <c r="R11" s="42"/>
      <c r="S11" s="271"/>
      <c r="T11" s="31"/>
      <c r="U11" s="1353" t="str">
        <f>Cover!BU25</f>
        <v>17 Confirmation of agreed capacity</v>
      </c>
      <c r="V11" s="1353"/>
      <c r="W11" s="1353"/>
      <c r="X11" s="1353"/>
      <c r="Y11" s="1353"/>
      <c r="Z11" s="1353"/>
      <c r="AA11" s="1353"/>
      <c r="AB11" s="1353"/>
      <c r="AC11" s="1353"/>
      <c r="AD11" s="1353"/>
      <c r="AE11" s="1353"/>
      <c r="AF11" s="1353"/>
      <c r="AG11" s="1353"/>
      <c r="AH11" s="1353"/>
      <c r="AI11" s="1353"/>
      <c r="AJ11" s="1353"/>
      <c r="AK11" s="1353"/>
      <c r="AL11" s="1353"/>
      <c r="AM11" s="1353"/>
      <c r="AN11" s="1354"/>
    </row>
    <row r="12" spans="1:40" ht="3" customHeight="1">
      <c r="A12" s="42"/>
      <c r="B12" s="31"/>
      <c r="C12" s="31"/>
      <c r="D12" s="276"/>
      <c r="E12" s="276"/>
      <c r="F12" s="276"/>
      <c r="G12" s="276"/>
      <c r="H12" s="276"/>
      <c r="I12" s="276"/>
      <c r="J12" s="276"/>
      <c r="K12" s="276"/>
      <c r="L12" s="276"/>
      <c r="M12" s="276"/>
      <c r="N12" s="276"/>
      <c r="O12" s="276"/>
      <c r="P12" s="276"/>
      <c r="Q12" s="277"/>
      <c r="R12" s="42"/>
      <c r="S12" s="31"/>
      <c r="T12" s="31"/>
      <c r="U12" s="276"/>
      <c r="V12" s="276"/>
      <c r="W12" s="276"/>
      <c r="X12" s="276"/>
      <c r="Y12" s="276"/>
      <c r="Z12" s="276"/>
      <c r="AA12" s="276"/>
      <c r="AB12" s="276"/>
      <c r="AC12" s="276"/>
      <c r="AD12" s="276"/>
      <c r="AE12" s="276"/>
      <c r="AF12" s="276"/>
      <c r="AG12" s="276"/>
      <c r="AH12" s="276"/>
      <c r="AI12" s="276"/>
      <c r="AJ12" s="276"/>
      <c r="AK12" s="276"/>
      <c r="AL12" s="276"/>
      <c r="AM12" s="276"/>
      <c r="AN12" s="277"/>
    </row>
    <row r="13" spans="1:40" ht="3" customHeight="1">
      <c r="A13" s="42"/>
      <c r="B13" s="31"/>
      <c r="C13" s="31"/>
      <c r="D13" s="276"/>
      <c r="E13" s="276"/>
      <c r="F13" s="276"/>
      <c r="G13" s="276"/>
      <c r="H13" s="276"/>
      <c r="I13" s="276"/>
      <c r="J13" s="276"/>
      <c r="K13" s="276"/>
      <c r="L13" s="276"/>
      <c r="M13" s="276"/>
      <c r="N13" s="276"/>
      <c r="O13" s="276"/>
      <c r="P13" s="276"/>
      <c r="Q13" s="277"/>
      <c r="R13" s="42"/>
      <c r="S13" s="31"/>
      <c r="T13" s="31"/>
      <c r="U13" s="276"/>
      <c r="V13" s="276"/>
      <c r="W13" s="276"/>
      <c r="X13" s="276"/>
      <c r="Y13" s="276"/>
      <c r="Z13" s="276"/>
      <c r="AA13" s="276"/>
      <c r="AB13" s="276"/>
      <c r="AC13" s="276"/>
      <c r="AD13" s="276"/>
      <c r="AE13" s="276"/>
      <c r="AF13" s="276"/>
      <c r="AG13" s="276"/>
      <c r="AH13" s="276"/>
      <c r="AI13" s="276"/>
      <c r="AJ13" s="276"/>
      <c r="AK13" s="276"/>
      <c r="AL13" s="276"/>
      <c r="AM13" s="276"/>
      <c r="AN13" s="277"/>
    </row>
    <row r="14" spans="1:40" ht="15.75" customHeight="1">
      <c r="A14" s="42"/>
      <c r="B14" s="271"/>
      <c r="C14" s="31"/>
      <c r="D14" s="1353" t="str">
        <f>Cover!AB27</f>
        <v>10 Process flow chart</v>
      </c>
      <c r="E14" s="1353"/>
      <c r="F14" s="1353"/>
      <c r="G14" s="1353"/>
      <c r="H14" s="1353"/>
      <c r="I14" s="1353"/>
      <c r="J14" s="1353"/>
      <c r="K14" s="1353"/>
      <c r="L14" s="1353"/>
      <c r="M14" s="1353"/>
      <c r="N14" s="1353"/>
      <c r="O14" s="1353"/>
      <c r="P14" s="1353"/>
      <c r="Q14" s="1354"/>
      <c r="R14" s="42"/>
      <c r="S14" s="271"/>
      <c r="T14" s="31"/>
      <c r="U14" s="1353" t="str">
        <f>Cover!BU27</f>
        <v>18 Written self-assessment</v>
      </c>
      <c r="V14" s="1353"/>
      <c r="W14" s="1353"/>
      <c r="X14" s="1353"/>
      <c r="Y14" s="1353"/>
      <c r="Z14" s="1353"/>
      <c r="AA14" s="1353"/>
      <c r="AB14" s="1353"/>
      <c r="AC14" s="1353"/>
      <c r="AD14" s="1353"/>
      <c r="AE14" s="1353"/>
      <c r="AF14" s="1353"/>
      <c r="AG14" s="1353"/>
      <c r="AH14" s="1353"/>
      <c r="AI14" s="1353"/>
      <c r="AJ14" s="1353"/>
      <c r="AK14" s="1353"/>
      <c r="AL14" s="1353"/>
      <c r="AM14" s="1353"/>
      <c r="AN14" s="1354"/>
    </row>
    <row r="15" spans="1:40" ht="3" customHeight="1">
      <c r="A15" s="42"/>
      <c r="B15" s="31"/>
      <c r="C15" s="31"/>
      <c r="D15" s="276"/>
      <c r="E15" s="276"/>
      <c r="F15" s="276"/>
      <c r="G15" s="276"/>
      <c r="H15" s="276"/>
      <c r="I15" s="276"/>
      <c r="J15" s="276"/>
      <c r="K15" s="276"/>
      <c r="L15" s="276"/>
      <c r="M15" s="276"/>
      <c r="N15" s="276"/>
      <c r="O15" s="276"/>
      <c r="P15" s="276"/>
      <c r="Q15" s="277"/>
      <c r="R15" s="42"/>
      <c r="S15" s="31"/>
      <c r="T15" s="31"/>
      <c r="U15" s="276"/>
      <c r="V15" s="276"/>
      <c r="W15" s="276"/>
      <c r="X15" s="276"/>
      <c r="Y15" s="276"/>
      <c r="Z15" s="276"/>
      <c r="AA15" s="276"/>
      <c r="AB15" s="276"/>
      <c r="AC15" s="276"/>
      <c r="AD15" s="276"/>
      <c r="AE15" s="276"/>
      <c r="AF15" s="276"/>
      <c r="AG15" s="276"/>
      <c r="AH15" s="276"/>
      <c r="AI15" s="276"/>
      <c r="AJ15" s="276"/>
      <c r="AK15" s="276"/>
      <c r="AL15" s="276"/>
      <c r="AM15" s="276"/>
      <c r="AN15" s="277"/>
    </row>
    <row r="16" spans="1:40" ht="3" customHeight="1">
      <c r="A16" s="42"/>
      <c r="B16" s="31"/>
      <c r="C16" s="31"/>
      <c r="D16" s="276"/>
      <c r="E16" s="276"/>
      <c r="F16" s="276"/>
      <c r="G16" s="276"/>
      <c r="H16" s="276"/>
      <c r="I16" s="276"/>
      <c r="J16" s="276"/>
      <c r="K16" s="276"/>
      <c r="L16" s="276"/>
      <c r="M16" s="276"/>
      <c r="N16" s="276"/>
      <c r="O16" s="276"/>
      <c r="P16" s="276"/>
      <c r="Q16" s="277"/>
      <c r="R16" s="42"/>
      <c r="S16" s="31"/>
      <c r="T16" s="31"/>
      <c r="U16" s="276"/>
      <c r="V16" s="276"/>
      <c r="W16" s="276"/>
      <c r="X16" s="276"/>
      <c r="Y16" s="276"/>
      <c r="Z16" s="276"/>
      <c r="AA16" s="276"/>
      <c r="AB16" s="276"/>
      <c r="AC16" s="276"/>
      <c r="AD16" s="276"/>
      <c r="AE16" s="276"/>
      <c r="AF16" s="276"/>
      <c r="AG16" s="276"/>
      <c r="AH16" s="276"/>
      <c r="AI16" s="276"/>
      <c r="AJ16" s="276"/>
      <c r="AK16" s="276"/>
      <c r="AL16" s="276"/>
      <c r="AM16" s="276"/>
      <c r="AN16" s="277"/>
    </row>
    <row r="17" spans="1:40" ht="15.75" customHeight="1">
      <c r="A17" s="42"/>
      <c r="B17" s="271"/>
      <c r="C17" s="31"/>
      <c r="D17" s="1353" t="str">
        <f>Cover!AB29</f>
        <v>11 Control plan</v>
      </c>
      <c r="E17" s="1353"/>
      <c r="F17" s="1353"/>
      <c r="G17" s="1353"/>
      <c r="H17" s="1353"/>
      <c r="I17" s="1353"/>
      <c r="J17" s="1353"/>
      <c r="K17" s="1353"/>
      <c r="L17" s="1353"/>
      <c r="M17" s="1353"/>
      <c r="N17" s="1353"/>
      <c r="O17" s="1353"/>
      <c r="P17" s="1353"/>
      <c r="Q17" s="1354"/>
      <c r="R17" s="42"/>
      <c r="S17" s="271"/>
      <c r="T17" s="31"/>
      <c r="U17" s="1353" t="str">
        <f>Cover!BU29</f>
        <v>19 Part history</v>
      </c>
      <c r="V17" s="1353"/>
      <c r="W17" s="1353"/>
      <c r="X17" s="1353"/>
      <c r="Y17" s="1353"/>
      <c r="Z17" s="1353"/>
      <c r="AA17" s="1353"/>
      <c r="AB17" s="1353"/>
      <c r="AC17" s="1353"/>
      <c r="AD17" s="1353"/>
      <c r="AE17" s="1353"/>
      <c r="AF17" s="1353"/>
      <c r="AG17" s="1353"/>
      <c r="AH17" s="1353"/>
      <c r="AI17" s="1353"/>
      <c r="AJ17" s="1353"/>
      <c r="AK17" s="1353"/>
      <c r="AL17" s="1353"/>
      <c r="AM17" s="1353"/>
      <c r="AN17" s="1354"/>
    </row>
    <row r="18" spans="1:40" ht="3" customHeight="1">
      <c r="A18" s="42"/>
      <c r="B18" s="31"/>
      <c r="C18" s="31"/>
      <c r="D18" s="276"/>
      <c r="E18" s="276"/>
      <c r="F18" s="276"/>
      <c r="G18" s="276"/>
      <c r="H18" s="276"/>
      <c r="I18" s="276"/>
      <c r="J18" s="276"/>
      <c r="K18" s="276"/>
      <c r="L18" s="276"/>
      <c r="M18" s="276"/>
      <c r="N18" s="276"/>
      <c r="O18" s="276"/>
      <c r="P18" s="276"/>
      <c r="Q18" s="277"/>
      <c r="R18" s="42"/>
      <c r="S18" s="31"/>
      <c r="T18" s="31"/>
      <c r="U18" s="276"/>
      <c r="V18" s="276"/>
      <c r="W18" s="276"/>
      <c r="X18" s="276"/>
      <c r="Y18" s="276"/>
      <c r="Z18" s="276"/>
      <c r="AA18" s="276"/>
      <c r="AB18" s="276"/>
      <c r="AC18" s="276"/>
      <c r="AD18" s="276"/>
      <c r="AE18" s="276"/>
      <c r="AF18" s="276"/>
      <c r="AG18" s="276"/>
      <c r="AH18" s="276"/>
      <c r="AI18" s="276"/>
      <c r="AJ18" s="276"/>
      <c r="AK18" s="276"/>
      <c r="AL18" s="276"/>
      <c r="AM18" s="276"/>
      <c r="AN18" s="277"/>
    </row>
    <row r="19" spans="1:40" ht="3" customHeight="1">
      <c r="A19" s="42"/>
      <c r="B19" s="31"/>
      <c r="C19" s="31"/>
      <c r="D19" s="276"/>
      <c r="E19" s="276"/>
      <c r="F19" s="276"/>
      <c r="G19" s="276"/>
      <c r="H19" s="276"/>
      <c r="I19" s="276"/>
      <c r="J19" s="276"/>
      <c r="K19" s="276"/>
      <c r="L19" s="276"/>
      <c r="M19" s="276"/>
      <c r="N19" s="276"/>
      <c r="O19" s="276"/>
      <c r="P19" s="276"/>
      <c r="Q19" s="277"/>
      <c r="R19" s="42"/>
      <c r="S19" s="31"/>
      <c r="T19" s="31"/>
      <c r="U19" s="276"/>
      <c r="V19" s="276"/>
      <c r="W19" s="276"/>
      <c r="X19" s="276"/>
      <c r="Y19" s="276"/>
      <c r="Z19" s="276"/>
      <c r="AA19" s="276"/>
      <c r="AB19" s="276"/>
      <c r="AC19" s="276"/>
      <c r="AD19" s="276"/>
      <c r="AE19" s="276"/>
      <c r="AF19" s="276"/>
      <c r="AG19" s="276"/>
      <c r="AH19" s="276"/>
      <c r="AI19" s="276"/>
      <c r="AJ19" s="276"/>
      <c r="AK19" s="276"/>
      <c r="AL19" s="276"/>
      <c r="AM19" s="276"/>
      <c r="AN19" s="277"/>
    </row>
    <row r="20" spans="1:40" ht="15.75" customHeight="1">
      <c r="A20" s="42"/>
      <c r="B20" s="271"/>
      <c r="C20" s="31"/>
      <c r="D20" s="1353" t="str">
        <f>Cover!AB31</f>
        <v>12 Confirmation of process capability</v>
      </c>
      <c r="E20" s="1353"/>
      <c r="F20" s="1353"/>
      <c r="G20" s="1353"/>
      <c r="H20" s="1353"/>
      <c r="I20" s="1353"/>
      <c r="J20" s="1353"/>
      <c r="K20" s="1353"/>
      <c r="L20" s="1353"/>
      <c r="M20" s="1353"/>
      <c r="N20" s="1353"/>
      <c r="O20" s="1353"/>
      <c r="P20" s="1353"/>
      <c r="Q20" s="1354"/>
      <c r="R20" s="42"/>
      <c r="S20" s="271"/>
      <c r="T20" s="31"/>
      <c r="U20" s="1353" t="str">
        <f>Cover!BU31</f>
        <v>20 Confirmation of suitability of transport equipment</v>
      </c>
      <c r="V20" s="1353"/>
      <c r="W20" s="1353"/>
      <c r="X20" s="1353"/>
      <c r="Y20" s="1353"/>
      <c r="Z20" s="1353"/>
      <c r="AA20" s="1353"/>
      <c r="AB20" s="1353"/>
      <c r="AC20" s="1353"/>
      <c r="AD20" s="1353"/>
      <c r="AE20" s="1353"/>
      <c r="AF20" s="1353"/>
      <c r="AG20" s="1353"/>
      <c r="AH20" s="1353"/>
      <c r="AI20" s="1353"/>
      <c r="AJ20" s="1353"/>
      <c r="AK20" s="1353"/>
      <c r="AL20" s="1353"/>
      <c r="AM20" s="1353"/>
      <c r="AN20" s="1354"/>
    </row>
    <row r="21" spans="1:40" ht="3" customHeight="1">
      <c r="A21" s="42"/>
      <c r="B21" s="31"/>
      <c r="C21" s="31"/>
      <c r="D21" s="276"/>
      <c r="E21" s="276"/>
      <c r="F21" s="276"/>
      <c r="G21" s="276"/>
      <c r="H21" s="276"/>
      <c r="I21" s="276"/>
      <c r="J21" s="276"/>
      <c r="K21" s="276"/>
      <c r="L21" s="276"/>
      <c r="M21" s="276"/>
      <c r="N21" s="276"/>
      <c r="O21" s="276"/>
      <c r="P21" s="276"/>
      <c r="Q21" s="277"/>
      <c r="R21" s="42"/>
      <c r="S21" s="31"/>
      <c r="T21" s="31"/>
      <c r="U21" s="276"/>
      <c r="V21" s="276"/>
      <c r="W21" s="276"/>
      <c r="X21" s="276"/>
      <c r="Y21" s="276"/>
      <c r="Z21" s="276"/>
      <c r="AA21" s="276"/>
      <c r="AB21" s="276"/>
      <c r="AC21" s="276"/>
      <c r="AD21" s="276"/>
      <c r="AE21" s="276"/>
      <c r="AF21" s="276"/>
      <c r="AG21" s="276"/>
      <c r="AH21" s="276"/>
      <c r="AI21" s="276"/>
      <c r="AJ21" s="276"/>
      <c r="AK21" s="276"/>
      <c r="AL21" s="276"/>
      <c r="AM21" s="276"/>
      <c r="AN21" s="277"/>
    </row>
    <row r="22" spans="1:40" ht="3" customHeight="1">
      <c r="A22" s="42"/>
      <c r="B22" s="31"/>
      <c r="C22" s="31"/>
      <c r="D22" s="276"/>
      <c r="E22" s="276"/>
      <c r="F22" s="276"/>
      <c r="G22" s="276"/>
      <c r="H22" s="276"/>
      <c r="I22" s="276"/>
      <c r="J22" s="276"/>
      <c r="K22" s="276"/>
      <c r="L22" s="276"/>
      <c r="M22" s="276"/>
      <c r="N22" s="276"/>
      <c r="O22" s="276"/>
      <c r="P22" s="276"/>
      <c r="Q22" s="277"/>
      <c r="R22" s="42"/>
      <c r="S22" s="31"/>
      <c r="T22" s="31"/>
      <c r="U22" s="276"/>
      <c r="V22" s="276"/>
      <c r="W22" s="276"/>
      <c r="X22" s="276"/>
      <c r="Y22" s="276"/>
      <c r="Z22" s="276"/>
      <c r="AA22" s="276"/>
      <c r="AB22" s="276"/>
      <c r="AC22" s="276"/>
      <c r="AD22" s="276"/>
      <c r="AE22" s="276"/>
      <c r="AF22" s="276"/>
      <c r="AG22" s="276"/>
      <c r="AH22" s="276"/>
      <c r="AI22" s="276"/>
      <c r="AJ22" s="276"/>
      <c r="AK22" s="276"/>
      <c r="AL22" s="276"/>
      <c r="AM22" s="276"/>
      <c r="AN22" s="277"/>
    </row>
    <row r="23" spans="1:40" ht="15.75" customHeight="1">
      <c r="A23" s="42"/>
      <c r="B23" s="271"/>
      <c r="C23" s="31"/>
      <c r="D23" s="1353" t="str">
        <f>Cover!AB33</f>
        <v>13 Achievement of special characteristics</v>
      </c>
      <c r="E23" s="1353"/>
      <c r="F23" s="1353"/>
      <c r="G23" s="1353"/>
      <c r="H23" s="1353"/>
      <c r="I23" s="1353"/>
      <c r="J23" s="1353"/>
      <c r="K23" s="1353"/>
      <c r="L23" s="1353"/>
      <c r="M23" s="1353"/>
      <c r="N23" s="1353"/>
      <c r="O23" s="1353"/>
      <c r="P23" s="1353"/>
      <c r="Q23" s="1354"/>
      <c r="R23" s="42"/>
      <c r="S23" s="620" t="s">
        <v>653</v>
      </c>
      <c r="T23" s="31"/>
      <c r="U23" s="1353" t="str">
        <f>Cover!BU33</f>
        <v>21 PPA-Status of the supply chain</v>
      </c>
      <c r="V23" s="1353"/>
      <c r="W23" s="1353"/>
      <c r="X23" s="1353"/>
      <c r="Y23" s="1353"/>
      <c r="Z23" s="1353"/>
      <c r="AA23" s="1353"/>
      <c r="AB23" s="1353"/>
      <c r="AC23" s="1353"/>
      <c r="AD23" s="1353"/>
      <c r="AE23" s="1353"/>
      <c r="AF23" s="1353"/>
      <c r="AG23" s="1353"/>
      <c r="AH23" s="1353"/>
      <c r="AI23" s="1353"/>
      <c r="AJ23" s="1353"/>
      <c r="AK23" s="1353"/>
      <c r="AL23" s="1353"/>
      <c r="AM23" s="1353"/>
      <c r="AN23" s="1354"/>
    </row>
    <row r="24" spans="1:40" ht="3" customHeight="1">
      <c r="A24" s="42"/>
      <c r="B24" s="31"/>
      <c r="C24" s="31"/>
      <c r="D24" s="276"/>
      <c r="E24" s="276"/>
      <c r="F24" s="276"/>
      <c r="G24" s="276"/>
      <c r="H24" s="276"/>
      <c r="I24" s="276"/>
      <c r="J24" s="276"/>
      <c r="K24" s="276"/>
      <c r="L24" s="276"/>
      <c r="M24" s="276"/>
      <c r="N24" s="276"/>
      <c r="O24" s="276"/>
      <c r="P24" s="276"/>
      <c r="Q24" s="277"/>
      <c r="R24" s="42"/>
      <c r="S24" s="31"/>
      <c r="T24" s="31"/>
      <c r="U24" s="276"/>
      <c r="V24" s="276"/>
      <c r="W24" s="276"/>
      <c r="X24" s="276"/>
      <c r="Y24" s="276"/>
      <c r="Z24" s="276"/>
      <c r="AA24" s="276"/>
      <c r="AB24" s="276"/>
      <c r="AC24" s="276"/>
      <c r="AD24" s="276"/>
      <c r="AE24" s="276"/>
      <c r="AF24" s="276"/>
      <c r="AG24" s="276"/>
      <c r="AH24" s="276"/>
      <c r="AI24" s="276"/>
      <c r="AJ24" s="276"/>
      <c r="AK24" s="276"/>
      <c r="AL24" s="276"/>
      <c r="AM24" s="276"/>
      <c r="AN24" s="277"/>
    </row>
    <row r="25" spans="1:40" ht="3" customHeight="1">
      <c r="A25" s="42"/>
      <c r="B25" s="31"/>
      <c r="C25" s="31"/>
      <c r="D25" s="276"/>
      <c r="E25" s="276"/>
      <c r="F25" s="276"/>
      <c r="G25" s="276"/>
      <c r="H25" s="276"/>
      <c r="I25" s="276"/>
      <c r="J25" s="276"/>
      <c r="K25" s="276"/>
      <c r="L25" s="276"/>
      <c r="M25" s="276"/>
      <c r="N25" s="276"/>
      <c r="O25" s="276"/>
      <c r="P25" s="276"/>
      <c r="Q25" s="277"/>
      <c r="R25" s="42"/>
      <c r="S25" s="31"/>
      <c r="T25" s="31"/>
      <c r="U25" s="276"/>
      <c r="V25" s="276"/>
      <c r="W25" s="276"/>
      <c r="X25" s="276"/>
      <c r="Y25" s="276"/>
      <c r="Z25" s="276"/>
      <c r="AA25" s="276"/>
      <c r="AB25" s="276"/>
      <c r="AC25" s="276"/>
      <c r="AD25" s="276"/>
      <c r="AE25" s="276"/>
      <c r="AF25" s="276"/>
      <c r="AG25" s="276"/>
      <c r="AH25" s="276"/>
      <c r="AI25" s="276"/>
      <c r="AJ25" s="276"/>
      <c r="AK25" s="276"/>
      <c r="AL25" s="276"/>
      <c r="AM25" s="276"/>
      <c r="AN25" s="277"/>
    </row>
    <row r="26" spans="1:40" ht="15.75" customHeight="1">
      <c r="A26" s="42"/>
      <c r="B26" s="271"/>
      <c r="C26" s="31"/>
      <c r="D26" s="1353" t="str">
        <f>Cover!AB35</f>
        <v>14 Test / Inspection equipment list</v>
      </c>
      <c r="E26" s="1353"/>
      <c r="F26" s="1353"/>
      <c r="G26" s="1353"/>
      <c r="H26" s="1353"/>
      <c r="I26" s="1353"/>
      <c r="J26" s="1353"/>
      <c r="K26" s="1353"/>
      <c r="L26" s="1353"/>
      <c r="M26" s="1353"/>
      <c r="N26" s="1353"/>
      <c r="O26" s="1353"/>
      <c r="P26" s="1353"/>
      <c r="Q26" s="1354"/>
      <c r="R26" s="42"/>
      <c r="S26" s="271"/>
      <c r="T26" s="31"/>
      <c r="U26" s="1353" t="str">
        <f>Cover!BU35</f>
        <v xml:space="preserve">22 Approval of coating systems </v>
      </c>
      <c r="V26" s="1353"/>
      <c r="W26" s="1353"/>
      <c r="X26" s="1353"/>
      <c r="Y26" s="1353"/>
      <c r="Z26" s="1353"/>
      <c r="AA26" s="1353"/>
      <c r="AB26" s="1353"/>
      <c r="AC26" s="1353"/>
      <c r="AD26" s="1353"/>
      <c r="AE26" s="1353"/>
      <c r="AF26" s="1353"/>
      <c r="AG26" s="1353"/>
      <c r="AH26" s="1353"/>
      <c r="AI26" s="1353"/>
      <c r="AJ26" s="1353"/>
      <c r="AK26" s="1353"/>
      <c r="AL26" s="1353"/>
      <c r="AM26" s="1353"/>
      <c r="AN26" s="1354"/>
    </row>
    <row r="27" spans="1:40" ht="3" customHeight="1">
      <c r="A27" s="42"/>
      <c r="B27" s="31"/>
      <c r="C27" s="31"/>
      <c r="D27" s="276"/>
      <c r="E27" s="276"/>
      <c r="F27" s="276"/>
      <c r="G27" s="276"/>
      <c r="H27" s="276"/>
      <c r="I27" s="276"/>
      <c r="J27" s="276"/>
      <c r="K27" s="276"/>
      <c r="L27" s="276"/>
      <c r="M27" s="276"/>
      <c r="N27" s="276"/>
      <c r="O27" s="276"/>
      <c r="P27" s="276"/>
      <c r="Q27" s="277"/>
      <c r="R27" s="42"/>
      <c r="S27" s="31"/>
      <c r="T27" s="31"/>
      <c r="U27" s="276"/>
      <c r="V27" s="276"/>
      <c r="W27" s="276"/>
      <c r="X27" s="276"/>
      <c r="Y27" s="276"/>
      <c r="Z27" s="276"/>
      <c r="AA27" s="276"/>
      <c r="AB27" s="276"/>
      <c r="AC27" s="276"/>
      <c r="AD27" s="276"/>
      <c r="AE27" s="276"/>
      <c r="AF27" s="276"/>
      <c r="AG27" s="276"/>
      <c r="AH27" s="276"/>
      <c r="AI27" s="276"/>
      <c r="AJ27" s="276"/>
      <c r="AK27" s="276"/>
      <c r="AL27" s="276"/>
      <c r="AM27" s="276"/>
      <c r="AN27" s="277"/>
    </row>
    <row r="28" spans="1:40" ht="3" customHeight="1">
      <c r="A28" s="42"/>
      <c r="B28" s="31"/>
      <c r="C28" s="31"/>
      <c r="D28" s="276"/>
      <c r="E28" s="276"/>
      <c r="F28" s="276"/>
      <c r="G28" s="276"/>
      <c r="H28" s="276"/>
      <c r="I28" s="276"/>
      <c r="J28" s="276"/>
      <c r="K28" s="276"/>
      <c r="L28" s="276"/>
      <c r="M28" s="276"/>
      <c r="N28" s="276"/>
      <c r="O28" s="276"/>
      <c r="P28" s="276"/>
      <c r="Q28" s="277"/>
      <c r="R28" s="42"/>
      <c r="S28" s="31"/>
      <c r="T28" s="31"/>
      <c r="U28" s="276"/>
      <c r="V28" s="276"/>
      <c r="W28" s="276"/>
      <c r="X28" s="276"/>
      <c r="Y28" s="276"/>
      <c r="Z28" s="276"/>
      <c r="AA28" s="276"/>
      <c r="AB28" s="276"/>
      <c r="AC28" s="276"/>
      <c r="AD28" s="276"/>
      <c r="AE28" s="276"/>
      <c r="AF28" s="276"/>
      <c r="AG28" s="276"/>
      <c r="AH28" s="276"/>
      <c r="AI28" s="276"/>
      <c r="AJ28" s="276"/>
      <c r="AK28" s="276"/>
      <c r="AL28" s="276"/>
      <c r="AM28" s="276"/>
      <c r="AN28" s="277"/>
    </row>
    <row r="29" spans="1:40" ht="15.75" customHeight="1">
      <c r="A29" s="42"/>
      <c r="B29" s="271"/>
      <c r="C29" s="31"/>
      <c r="D29" s="1353" t="str">
        <f>Cover!AB37</f>
        <v>15 Capability study testing equipment</v>
      </c>
      <c r="E29" s="1353"/>
      <c r="F29" s="1353"/>
      <c r="G29" s="1353"/>
      <c r="H29" s="1353"/>
      <c r="I29" s="1353"/>
      <c r="J29" s="1353"/>
      <c r="K29" s="1353"/>
      <c r="L29" s="1353"/>
      <c r="M29" s="1353"/>
      <c r="N29" s="1353"/>
      <c r="O29" s="1353"/>
      <c r="P29" s="1353"/>
      <c r="Q29" s="1354"/>
      <c r="R29" s="42"/>
      <c r="S29" s="271"/>
      <c r="T29" s="31"/>
      <c r="U29" s="424">
        <v>23</v>
      </c>
      <c r="V29" s="1353" t="str">
        <f>Cover!BX37</f>
        <v>Other</v>
      </c>
      <c r="W29" s="1353"/>
      <c r="X29" s="1353"/>
      <c r="Y29" s="1353"/>
      <c r="Z29" s="1353"/>
      <c r="AA29" s="1353"/>
      <c r="AB29" s="1353"/>
      <c r="AC29" s="1353"/>
      <c r="AD29" s="1353"/>
      <c r="AE29" s="1353"/>
      <c r="AF29" s="1353"/>
      <c r="AG29" s="1353"/>
      <c r="AH29" s="1353"/>
      <c r="AI29" s="1353"/>
      <c r="AJ29" s="1353"/>
      <c r="AK29" s="1353"/>
      <c r="AL29" s="1353"/>
      <c r="AM29" s="1353"/>
      <c r="AN29" s="1354"/>
    </row>
    <row r="30" spans="1:40" ht="3" customHeight="1" thickBot="1">
      <c r="A30" s="61"/>
      <c r="B30" s="269"/>
      <c r="C30" s="269"/>
      <c r="D30" s="1118"/>
      <c r="E30" s="1118"/>
      <c r="F30" s="1118"/>
      <c r="G30" s="1118"/>
      <c r="H30" s="1118"/>
      <c r="I30" s="1118"/>
      <c r="J30" s="1118"/>
      <c r="K30" s="1118"/>
      <c r="L30" s="1118"/>
      <c r="M30" s="1118"/>
      <c r="N30" s="1118"/>
      <c r="O30" s="1118"/>
      <c r="P30" s="1118"/>
      <c r="Q30" s="1816"/>
      <c r="R30" s="61"/>
      <c r="S30" s="269"/>
      <c r="T30" s="269"/>
      <c r="U30" s="301"/>
      <c r="V30" s="301"/>
      <c r="W30" s="301"/>
      <c r="X30" s="301"/>
      <c r="Y30" s="301"/>
      <c r="Z30" s="301"/>
      <c r="AA30" s="301"/>
      <c r="AB30" s="301"/>
      <c r="AC30" s="301"/>
      <c r="AD30" s="301"/>
      <c r="AE30" s="301"/>
      <c r="AF30" s="301"/>
      <c r="AG30" s="301"/>
      <c r="AH30" s="301"/>
      <c r="AI30" s="301"/>
      <c r="AJ30" s="301"/>
      <c r="AK30" s="301"/>
      <c r="AL30" s="301"/>
      <c r="AM30" s="301"/>
      <c r="AN30" s="254"/>
    </row>
    <row r="31" spans="1:40" ht="3" customHeight="1" thickBot="1"/>
    <row r="32" spans="1:40" ht="16.5">
      <c r="A32" s="919" t="str">
        <f>Content!A4</f>
        <v>Supplier/Production plant:</v>
      </c>
      <c r="B32" s="920"/>
      <c r="C32" s="920"/>
      <c r="D32" s="920"/>
      <c r="E32" s="920"/>
      <c r="F32" s="920"/>
      <c r="G32" s="920"/>
      <c r="H32" s="920"/>
      <c r="I32" s="920"/>
      <c r="J32" s="920"/>
      <c r="K32" s="923">
        <f>Cover!H41</f>
        <v>0</v>
      </c>
      <c r="L32" s="923"/>
      <c r="M32" s="923"/>
      <c r="N32" s="923"/>
      <c r="O32" s="923"/>
      <c r="P32" s="923"/>
      <c r="Q32" s="924"/>
      <c r="R32" s="919" t="str">
        <f>Content!Q4</f>
        <v>Customer:</v>
      </c>
      <c r="S32" s="920"/>
      <c r="T32" s="920"/>
      <c r="U32" s="920"/>
      <c r="V32" s="920"/>
      <c r="W32" s="920"/>
      <c r="X32" s="920"/>
      <c r="Y32" s="923">
        <f>Cover!CP41</f>
        <v>0</v>
      </c>
      <c r="Z32" s="923"/>
      <c r="AA32" s="923"/>
      <c r="AB32" s="923"/>
      <c r="AC32" s="923"/>
      <c r="AD32" s="923"/>
      <c r="AE32" s="923"/>
      <c r="AF32" s="923"/>
      <c r="AG32" s="923"/>
      <c r="AH32" s="923"/>
      <c r="AI32" s="923"/>
      <c r="AJ32" s="923"/>
      <c r="AK32" s="923"/>
      <c r="AL32" s="923"/>
      <c r="AM32" s="923"/>
      <c r="AN32" s="924"/>
    </row>
    <row r="33" spans="1:93" ht="16.5" customHeight="1">
      <c r="A33" s="1176" t="str">
        <f>Content!A5</f>
        <v>ID number / DUNS:</v>
      </c>
      <c r="B33" s="1177"/>
      <c r="C33" s="1177"/>
      <c r="D33" s="1177"/>
      <c r="E33" s="1177"/>
      <c r="F33" s="1177"/>
      <c r="G33" s="1177"/>
      <c r="H33" s="1177"/>
      <c r="I33" s="925">
        <f>Cover!AM41</f>
        <v>0</v>
      </c>
      <c r="J33" s="925"/>
      <c r="K33" s="925"/>
      <c r="L33" s="925"/>
      <c r="M33" s="925"/>
      <c r="N33" s="925"/>
      <c r="O33" s="925"/>
      <c r="P33" s="925"/>
      <c r="Q33" s="926"/>
      <c r="R33" s="1176" t="str">
        <f>Content!Q5</f>
        <v>ID number:</v>
      </c>
      <c r="S33" s="1177"/>
      <c r="T33" s="1177"/>
      <c r="U33" s="1177"/>
      <c r="V33" s="1177"/>
      <c r="W33" s="1177"/>
      <c r="X33" s="1177"/>
      <c r="Y33" s="925"/>
      <c r="Z33" s="925"/>
      <c r="AA33" s="925"/>
      <c r="AB33" s="925"/>
      <c r="AC33" s="925"/>
      <c r="AD33" s="925"/>
      <c r="AE33" s="925"/>
      <c r="AF33" s="925"/>
      <c r="AG33" s="925"/>
      <c r="AH33" s="925"/>
      <c r="AI33" s="925"/>
      <c r="AJ33" s="925"/>
      <c r="AK33" s="925"/>
      <c r="AL33" s="925"/>
      <c r="AM33" s="925"/>
      <c r="AN33" s="926"/>
    </row>
    <row r="34" spans="1:93" ht="16.5" customHeight="1">
      <c r="A34" s="1176" t="str">
        <f>Content!A6</f>
        <v>Report No.:</v>
      </c>
      <c r="B34" s="1177"/>
      <c r="C34" s="1177"/>
      <c r="D34" s="1177"/>
      <c r="E34" s="1177"/>
      <c r="F34" s="1177"/>
      <c r="G34" s="925">
        <f>Cover!CP42</f>
        <v>0</v>
      </c>
      <c r="H34" s="925"/>
      <c r="I34" s="925"/>
      <c r="J34" s="925"/>
      <c r="K34" s="925"/>
      <c r="L34" s="1122" t="s">
        <v>69</v>
      </c>
      <c r="M34" s="1122"/>
      <c r="N34" s="927"/>
      <c r="O34" s="927"/>
      <c r="P34" s="927"/>
      <c r="Q34" s="928"/>
      <c r="R34" s="1176" t="str">
        <f>Content!Q6</f>
        <v>Report No.:</v>
      </c>
      <c r="S34" s="1177"/>
      <c r="T34" s="1177"/>
      <c r="U34" s="1177"/>
      <c r="V34" s="1177"/>
      <c r="W34" s="1177"/>
      <c r="X34" s="1177"/>
      <c r="Y34" s="925"/>
      <c r="Z34" s="925"/>
      <c r="AA34" s="925"/>
      <c r="AB34" s="925"/>
      <c r="AC34" s="925"/>
      <c r="AD34" s="925"/>
      <c r="AE34" s="925"/>
      <c r="AF34" s="925"/>
      <c r="AG34" s="925"/>
      <c r="AH34" s="1122" t="s">
        <v>69</v>
      </c>
      <c r="AI34" s="1122"/>
      <c r="AJ34" s="1122"/>
      <c r="AK34" s="927"/>
      <c r="AL34" s="927"/>
      <c r="AM34" s="927"/>
      <c r="AN34" s="928"/>
    </row>
    <row r="35" spans="1:93" ht="16.5" customHeight="1">
      <c r="A35" s="1009" t="str">
        <f>Content!A7</f>
        <v>Part description:</v>
      </c>
      <c r="B35" s="1010"/>
      <c r="C35" s="1010"/>
      <c r="D35" s="1010"/>
      <c r="E35" s="1010"/>
      <c r="F35" s="1010"/>
      <c r="G35" s="938">
        <f>Cover!G42</f>
        <v>0</v>
      </c>
      <c r="H35" s="938"/>
      <c r="I35" s="938"/>
      <c r="J35" s="938"/>
      <c r="K35" s="938"/>
      <c r="L35" s="938"/>
      <c r="M35" s="938"/>
      <c r="N35" s="938"/>
      <c r="O35" s="938"/>
      <c r="P35" s="938"/>
      <c r="Q35" s="939"/>
      <c r="R35" s="1009" t="str">
        <f>Content!A7</f>
        <v>Part description:</v>
      </c>
      <c r="S35" s="1010"/>
      <c r="T35" s="1010"/>
      <c r="U35" s="1010"/>
      <c r="V35" s="1010"/>
      <c r="W35" s="1010"/>
      <c r="X35" s="1010"/>
      <c r="Y35" s="938"/>
      <c r="Z35" s="938"/>
      <c r="AA35" s="938"/>
      <c r="AB35" s="938"/>
      <c r="AC35" s="938"/>
      <c r="AD35" s="938"/>
      <c r="AE35" s="938"/>
      <c r="AF35" s="938"/>
      <c r="AG35" s="938"/>
      <c r="AH35" s="938"/>
      <c r="AI35" s="938"/>
      <c r="AJ35" s="938"/>
      <c r="AK35" s="938"/>
      <c r="AL35" s="938"/>
      <c r="AM35" s="938"/>
      <c r="AN35" s="939"/>
    </row>
    <row r="36" spans="1:93" ht="16.5" customHeight="1">
      <c r="A36" s="1012" t="str">
        <f>Cover!B43</f>
        <v>Part number:</v>
      </c>
      <c r="B36" s="1013"/>
      <c r="C36" s="1013"/>
      <c r="D36" s="1013"/>
      <c r="E36" s="1013"/>
      <c r="F36" s="1013"/>
      <c r="G36" s="1119">
        <f>Cover!G43</f>
        <v>0</v>
      </c>
      <c r="H36" s="1119"/>
      <c r="I36" s="1119"/>
      <c r="J36" s="1119"/>
      <c r="K36" s="1119"/>
      <c r="L36" s="1119"/>
      <c r="M36" s="1119"/>
      <c r="N36" s="1119"/>
      <c r="O36" s="1119"/>
      <c r="P36" s="1119"/>
      <c r="Q36" s="1120"/>
      <c r="R36" s="1012" t="str">
        <f>A36</f>
        <v>Part number:</v>
      </c>
      <c r="S36" s="1013"/>
      <c r="T36" s="1013"/>
      <c r="U36" s="1013"/>
      <c r="V36" s="1013"/>
      <c r="W36" s="1013"/>
      <c r="X36" s="1013"/>
      <c r="Y36" s="1119"/>
      <c r="Z36" s="1119"/>
      <c r="AA36" s="1119"/>
      <c r="AB36" s="1119"/>
      <c r="AC36" s="1119"/>
      <c r="AD36" s="1119"/>
      <c r="AE36" s="1119"/>
      <c r="AF36" s="1119"/>
      <c r="AG36" s="1119"/>
      <c r="AH36" s="1119"/>
      <c r="AI36" s="1119"/>
      <c r="AJ36" s="1119"/>
      <c r="AK36" s="1119"/>
      <c r="AL36" s="1119"/>
      <c r="AM36" s="1119"/>
      <c r="AN36" s="1120"/>
    </row>
    <row r="37" spans="1:93" ht="16.5" customHeight="1">
      <c r="A37" s="1012" t="str">
        <f>Content!Q7</f>
        <v>Drawing number:</v>
      </c>
      <c r="B37" s="1013"/>
      <c r="C37" s="1013"/>
      <c r="D37" s="1013"/>
      <c r="E37" s="1013"/>
      <c r="F37" s="1013"/>
      <c r="G37" s="1013"/>
      <c r="H37" s="1119">
        <f>Cover!G44</f>
        <v>0</v>
      </c>
      <c r="I37" s="1119"/>
      <c r="J37" s="1119"/>
      <c r="K37" s="1119"/>
      <c r="L37" s="1119"/>
      <c r="M37" s="1119"/>
      <c r="N37" s="1119"/>
      <c r="O37" s="1119"/>
      <c r="P37" s="1119"/>
      <c r="Q37" s="1120"/>
      <c r="R37" s="1012" t="str">
        <f>Content!Q7</f>
        <v>Drawing number:</v>
      </c>
      <c r="S37" s="1013"/>
      <c r="T37" s="1013"/>
      <c r="U37" s="1013"/>
      <c r="V37" s="1013"/>
      <c r="W37" s="1013"/>
      <c r="X37" s="1013"/>
      <c r="Y37" s="1013"/>
      <c r="Z37" s="1013"/>
      <c r="AA37" s="1119"/>
      <c r="AB37" s="1119"/>
      <c r="AC37" s="1119"/>
      <c r="AD37" s="1119"/>
      <c r="AE37" s="1119"/>
      <c r="AF37" s="1119"/>
      <c r="AG37" s="1119"/>
      <c r="AH37" s="1119"/>
      <c r="AI37" s="1119"/>
      <c r="AJ37" s="1119"/>
      <c r="AK37" s="1119"/>
      <c r="AL37" s="1119"/>
      <c r="AM37" s="1119"/>
      <c r="AN37" s="1120"/>
    </row>
    <row r="38" spans="1:93" ht="16.5" customHeight="1" thickBot="1">
      <c r="A38" s="1175" t="str">
        <f>Content!Q8</f>
        <v>Issue / Date:</v>
      </c>
      <c r="B38" s="900"/>
      <c r="C38" s="900"/>
      <c r="D38" s="900"/>
      <c r="E38" s="900"/>
      <c r="F38" s="900"/>
      <c r="G38" s="940">
        <f>Cover!G45</f>
        <v>0</v>
      </c>
      <c r="H38" s="940"/>
      <c r="I38" s="940"/>
      <c r="J38" s="940"/>
      <c r="K38" s="940"/>
      <c r="L38" s="940"/>
      <c r="M38" s="940"/>
      <c r="N38" s="940"/>
      <c r="O38" s="940"/>
      <c r="P38" s="940"/>
      <c r="Q38" s="941"/>
      <c r="R38" s="1175" t="str">
        <f>Content!Q8</f>
        <v>Issue / Date:</v>
      </c>
      <c r="S38" s="900"/>
      <c r="T38" s="900"/>
      <c r="U38" s="900"/>
      <c r="V38" s="900"/>
      <c r="W38" s="900"/>
      <c r="X38" s="900"/>
      <c r="Y38" s="940"/>
      <c r="Z38" s="940"/>
      <c r="AA38" s="940"/>
      <c r="AB38" s="940"/>
      <c r="AC38" s="940"/>
      <c r="AD38" s="940"/>
      <c r="AE38" s="940"/>
      <c r="AF38" s="940"/>
      <c r="AG38" s="940"/>
      <c r="AH38" s="940"/>
      <c r="AI38" s="940"/>
      <c r="AJ38" s="940"/>
      <c r="AK38" s="940"/>
      <c r="AL38" s="940"/>
      <c r="AM38" s="940"/>
      <c r="AN38" s="941"/>
    </row>
    <row r="39" spans="1:93" ht="3" customHeight="1" thickBot="1">
      <c r="A39" s="410"/>
      <c r="B39" s="410"/>
      <c r="C39" s="410"/>
      <c r="D39" s="410"/>
      <c r="E39" s="410"/>
      <c r="F39" s="410"/>
      <c r="G39" s="131"/>
      <c r="H39" s="131"/>
      <c r="I39" s="131"/>
      <c r="J39" s="131"/>
      <c r="K39" s="131"/>
      <c r="L39" s="131"/>
      <c r="M39" s="131"/>
      <c r="N39" s="131"/>
      <c r="O39" s="131"/>
      <c r="P39" s="131"/>
      <c r="Q39" s="131"/>
      <c r="R39" s="410"/>
      <c r="S39" s="410"/>
      <c r="T39" s="410"/>
      <c r="U39" s="410"/>
      <c r="V39" s="410"/>
      <c r="W39" s="410"/>
      <c r="X39" s="410"/>
      <c r="Y39" s="131"/>
      <c r="Z39" s="131"/>
      <c r="AA39" s="131"/>
      <c r="AB39" s="131"/>
      <c r="AC39" s="131"/>
      <c r="AD39" s="131"/>
      <c r="AE39" s="131"/>
      <c r="AF39" s="131"/>
      <c r="AG39" s="131"/>
      <c r="AH39" s="131"/>
      <c r="AI39" s="131"/>
      <c r="AJ39" s="131"/>
      <c r="AK39" s="131"/>
      <c r="AL39" s="131"/>
      <c r="AM39" s="131"/>
      <c r="AN39" s="131"/>
    </row>
    <row r="40" spans="1:93" ht="49.5" customHeight="1" thickBot="1">
      <c r="A40" s="1853" t="str">
        <f>VLOOKUP("hiermit bestätigen wir - ppap unterlieferanten",Translations!$A:$T,MATCH(Cover!DR19,Translations!A2:P2,0),0)</f>
        <v>We herewith confirm that also our purchased parts/ components are homologated and approved according the PPA procedure.
Copies of the approved PPA cover sheets are attached to this PPA !</v>
      </c>
      <c r="B40" s="1854"/>
      <c r="C40" s="1854"/>
      <c r="D40" s="1854"/>
      <c r="E40" s="1854"/>
      <c r="F40" s="1854"/>
      <c r="G40" s="1854"/>
      <c r="H40" s="1854"/>
      <c r="I40" s="1854"/>
      <c r="J40" s="1854"/>
      <c r="K40" s="1854"/>
      <c r="L40" s="1854"/>
      <c r="M40" s="1854"/>
      <c r="N40" s="1854"/>
      <c r="O40" s="1854"/>
      <c r="P40" s="1854"/>
      <c r="Q40" s="1854"/>
      <c r="R40" s="1854"/>
      <c r="S40" s="1854"/>
      <c r="T40" s="1854"/>
      <c r="U40" s="1854"/>
      <c r="V40" s="1854"/>
      <c r="W40" s="1854"/>
      <c r="X40" s="1854"/>
      <c r="Y40" s="1854"/>
      <c r="Z40" s="1854"/>
      <c r="AA40" s="1854"/>
      <c r="AB40" s="1854"/>
      <c r="AC40" s="1854"/>
      <c r="AD40" s="1854"/>
      <c r="AE40" s="1854"/>
      <c r="AF40" s="1854"/>
      <c r="AG40" s="1854"/>
      <c r="AH40" s="1854"/>
      <c r="AI40" s="1854"/>
      <c r="AJ40" s="1854"/>
      <c r="AK40" s="1854"/>
      <c r="AL40" s="1854"/>
      <c r="AM40" s="1854"/>
      <c r="AN40" s="1855"/>
    </row>
    <row r="41" spans="1:93" ht="3" customHeight="1" thickBot="1">
      <c r="A41" s="433"/>
      <c r="B41" s="434"/>
      <c r="C41" s="434"/>
      <c r="D41" s="434"/>
      <c r="E41" s="434"/>
      <c r="F41" s="434"/>
      <c r="G41" s="434"/>
      <c r="H41" s="434"/>
      <c r="I41" s="434"/>
      <c r="J41" s="434"/>
      <c r="K41" s="434"/>
      <c r="L41" s="434"/>
      <c r="M41" s="434"/>
      <c r="N41" s="434"/>
      <c r="O41" s="434"/>
      <c r="P41" s="434"/>
      <c r="Q41" s="434"/>
      <c r="R41" s="434"/>
      <c r="S41" s="434"/>
      <c r="T41" s="434"/>
      <c r="U41" s="434"/>
      <c r="V41" s="434"/>
      <c r="W41" s="434"/>
      <c r="X41" s="434"/>
      <c r="Y41" s="434"/>
      <c r="Z41" s="434"/>
      <c r="AA41" s="434"/>
      <c r="AB41" s="434"/>
      <c r="AC41" s="434"/>
      <c r="AD41" s="434"/>
      <c r="AE41" s="434"/>
      <c r="AF41" s="434"/>
      <c r="AG41" s="434"/>
      <c r="AH41" s="434"/>
      <c r="AI41" s="434"/>
      <c r="AJ41" s="434"/>
      <c r="AK41" s="434"/>
      <c r="AL41" s="434"/>
      <c r="AM41" s="434"/>
      <c r="AN41" s="435"/>
    </row>
    <row r="42" spans="1:93" ht="48" customHeight="1" thickBot="1">
      <c r="A42" s="1856" t="str">
        <f>VLOOKUP("name und anschrift ihres lieferanten",Translations!$A:$T,MATCH(Cover!DR19,Translations!A2:P2,0),0)</f>
        <v>Name and adress of your suppliers</v>
      </c>
      <c r="B42" s="1849"/>
      <c r="C42" s="1849"/>
      <c r="D42" s="1849"/>
      <c r="E42" s="1849"/>
      <c r="F42" s="1849"/>
      <c r="G42" s="1849"/>
      <c r="H42" s="1849"/>
      <c r="I42" s="1849"/>
      <c r="J42" s="1849"/>
      <c r="K42" s="1850"/>
      <c r="L42" s="1848" t="str">
        <f>VLOOKUP("bezeichnung und teilenummer des zukaufteils",Translations!$A:$T,MATCH(Cover!DR19,Translations!A2:P2,0),0)</f>
        <v>Name and number of the purchased part</v>
      </c>
      <c r="M42" s="1849"/>
      <c r="N42" s="1849"/>
      <c r="O42" s="1849"/>
      <c r="P42" s="1849"/>
      <c r="Q42" s="1849"/>
      <c r="R42" s="1849"/>
      <c r="S42" s="1849"/>
      <c r="T42" s="1849"/>
      <c r="U42" s="1849"/>
      <c r="V42" s="1849"/>
      <c r="W42" s="1850"/>
      <c r="X42" s="1848" t="str">
        <f>VLOOKUP("status",Translations!$A:$T,MATCH(Cover!DR19,Translations!A2:P2,0),0)</f>
        <v>Status</v>
      </c>
      <c r="Y42" s="1849"/>
      <c r="Z42" s="1849"/>
      <c r="AA42" s="1850"/>
      <c r="AB42" s="1848" t="str">
        <f>VLOOKUP("anmerkung",Translations!$A:$T,MATCH(Cover!DR19,Translations!A2:P2,0),0)</f>
        <v>Comment</v>
      </c>
      <c r="AC42" s="1849"/>
      <c r="AD42" s="1849"/>
      <c r="AE42" s="1849"/>
      <c r="AF42" s="1849"/>
      <c r="AG42" s="1849"/>
      <c r="AH42" s="1849"/>
      <c r="AI42" s="1849"/>
      <c r="AJ42" s="1849"/>
      <c r="AK42" s="1849"/>
      <c r="AL42" s="1849"/>
      <c r="AM42" s="1849"/>
      <c r="AN42" s="1857"/>
      <c r="AP42" s="76"/>
      <c r="AT42" s="76"/>
      <c r="AU42" s="76"/>
      <c r="AV42" s="76"/>
      <c r="AW42" s="76"/>
      <c r="AX42" s="76"/>
      <c r="AY42" s="76"/>
      <c r="AZ42" s="76"/>
      <c r="BA42" s="76"/>
      <c r="BB42" s="76"/>
      <c r="BC42" s="76"/>
      <c r="BD42" s="76"/>
      <c r="BE42" s="76"/>
      <c r="BF42" s="76"/>
      <c r="BG42" s="76"/>
      <c r="BH42" s="76"/>
      <c r="BI42" s="76"/>
      <c r="BJ42" s="76"/>
      <c r="BK42" s="76"/>
      <c r="BL42" s="76"/>
      <c r="BM42" s="76"/>
      <c r="BN42" s="76"/>
      <c r="BO42" s="76"/>
      <c r="BP42" s="76"/>
      <c r="BQ42" s="76"/>
      <c r="BR42" s="76"/>
      <c r="BS42" s="76"/>
      <c r="BT42" s="80"/>
      <c r="BU42" s="80"/>
      <c r="BV42" s="80"/>
      <c r="BW42" s="80"/>
      <c r="BX42" s="80"/>
      <c r="BY42" s="80"/>
      <c r="BZ42" s="80"/>
      <c r="CA42" s="80"/>
      <c r="CB42" s="80"/>
      <c r="CC42" s="80"/>
      <c r="CD42" s="80"/>
      <c r="CE42" s="80"/>
      <c r="CF42" s="80"/>
      <c r="CG42" s="80"/>
      <c r="CH42" s="80"/>
      <c r="CI42" s="80"/>
      <c r="CJ42" s="80"/>
      <c r="CK42" s="80"/>
      <c r="CL42" s="80"/>
      <c r="CM42" s="80"/>
      <c r="CN42" s="80"/>
      <c r="CO42" s="80"/>
    </row>
    <row r="43" spans="1:93" ht="40.5" customHeight="1">
      <c r="A43" s="1858"/>
      <c r="B43" s="1330"/>
      <c r="C43" s="1330"/>
      <c r="D43" s="1330"/>
      <c r="E43" s="1330"/>
      <c r="F43" s="1330"/>
      <c r="G43" s="1330"/>
      <c r="H43" s="1330"/>
      <c r="I43" s="1330"/>
      <c r="J43" s="1330"/>
      <c r="K43" s="1814"/>
      <c r="L43" s="1329"/>
      <c r="M43" s="1330"/>
      <c r="N43" s="1330"/>
      <c r="O43" s="1330"/>
      <c r="P43" s="1330"/>
      <c r="Q43" s="1330"/>
      <c r="R43" s="1330"/>
      <c r="S43" s="1330"/>
      <c r="T43" s="1330"/>
      <c r="U43" s="1330"/>
      <c r="V43" s="1330"/>
      <c r="W43" s="1814"/>
      <c r="X43" s="1258"/>
      <c r="Y43" s="1259"/>
      <c r="Z43" s="1259"/>
      <c r="AA43" s="1260"/>
      <c r="AB43" s="1329"/>
      <c r="AC43" s="1330"/>
      <c r="AD43" s="1330"/>
      <c r="AE43" s="1330"/>
      <c r="AF43" s="1330"/>
      <c r="AG43" s="1330"/>
      <c r="AH43" s="1330"/>
      <c r="AI43" s="1330"/>
      <c r="AJ43" s="1330"/>
      <c r="AK43" s="1330"/>
      <c r="AL43" s="1330"/>
      <c r="AM43" s="1330"/>
      <c r="AN43" s="1331"/>
      <c r="AP43" s="76"/>
      <c r="AQ43" s="137"/>
      <c r="AR43" s="137"/>
      <c r="AT43" s="76"/>
      <c r="AV43" s="76"/>
      <c r="AW43" s="76"/>
      <c r="AY43" s="76"/>
      <c r="AZ43" s="76"/>
      <c r="BB43" s="76"/>
      <c r="BE43" s="76"/>
      <c r="BG43" s="76"/>
      <c r="BH43" s="76"/>
      <c r="BI43" s="76"/>
      <c r="BJ43" s="25"/>
      <c r="BL43" s="76"/>
      <c r="BM43" s="76"/>
      <c r="BN43" s="76"/>
      <c r="BO43" s="76"/>
      <c r="BP43" s="76"/>
      <c r="BQ43" s="76"/>
      <c r="BR43" s="76"/>
      <c r="BS43" s="76"/>
      <c r="BT43" s="80"/>
      <c r="BU43" s="80"/>
      <c r="BV43" s="80"/>
      <c r="BW43" s="80"/>
      <c r="BX43" s="80"/>
      <c r="BY43" s="80"/>
      <c r="BZ43" s="80"/>
      <c r="CA43" s="80"/>
      <c r="CB43" s="78"/>
      <c r="CC43" s="80"/>
      <c r="CD43" s="80"/>
      <c r="CE43" s="80"/>
      <c r="CF43" s="78"/>
      <c r="CG43" s="80"/>
      <c r="CH43" s="80"/>
      <c r="CI43" s="80"/>
      <c r="CJ43" s="80"/>
      <c r="CK43" s="80"/>
      <c r="CL43" s="80"/>
      <c r="CM43" s="80"/>
      <c r="CN43" s="80"/>
      <c r="CO43" s="80"/>
    </row>
    <row r="44" spans="1:93" ht="40.5" customHeight="1">
      <c r="A44" s="1851"/>
      <c r="B44" s="1318"/>
      <c r="C44" s="1318"/>
      <c r="D44" s="1318"/>
      <c r="E44" s="1318"/>
      <c r="F44" s="1318"/>
      <c r="G44" s="1318"/>
      <c r="H44" s="1318"/>
      <c r="I44" s="1318"/>
      <c r="J44" s="1318"/>
      <c r="K44" s="1800"/>
      <c r="L44" s="1317"/>
      <c r="M44" s="1318"/>
      <c r="N44" s="1318"/>
      <c r="O44" s="1318"/>
      <c r="P44" s="1318"/>
      <c r="Q44" s="1318"/>
      <c r="R44" s="1318"/>
      <c r="S44" s="1318"/>
      <c r="T44" s="1318"/>
      <c r="U44" s="1318"/>
      <c r="V44" s="1318"/>
      <c r="W44" s="1800"/>
      <c r="X44" s="1226"/>
      <c r="Y44" s="1227"/>
      <c r="Z44" s="1227"/>
      <c r="AA44" s="1248"/>
      <c r="AB44" s="1317"/>
      <c r="AC44" s="1318"/>
      <c r="AD44" s="1318"/>
      <c r="AE44" s="1318"/>
      <c r="AF44" s="1318"/>
      <c r="AG44" s="1318"/>
      <c r="AH44" s="1318"/>
      <c r="AI44" s="1318"/>
      <c r="AJ44" s="1318"/>
      <c r="AK44" s="1318"/>
      <c r="AL44" s="1318"/>
      <c r="AM44" s="1318"/>
      <c r="AN44" s="1319"/>
      <c r="AT44" s="76"/>
    </row>
    <row r="45" spans="1:93" ht="40.5" customHeight="1">
      <c r="A45" s="1851"/>
      <c r="B45" s="1318"/>
      <c r="C45" s="1318"/>
      <c r="D45" s="1318"/>
      <c r="E45" s="1318"/>
      <c r="F45" s="1318"/>
      <c r="G45" s="1318"/>
      <c r="H45" s="1318"/>
      <c r="I45" s="1318"/>
      <c r="J45" s="1318"/>
      <c r="K45" s="1800"/>
      <c r="L45" s="1317"/>
      <c r="M45" s="1318"/>
      <c r="N45" s="1318"/>
      <c r="O45" s="1318"/>
      <c r="P45" s="1318"/>
      <c r="Q45" s="1318"/>
      <c r="R45" s="1318"/>
      <c r="S45" s="1318"/>
      <c r="T45" s="1318"/>
      <c r="U45" s="1318"/>
      <c r="V45" s="1318"/>
      <c r="W45" s="1800"/>
      <c r="X45" s="1226"/>
      <c r="Y45" s="1227"/>
      <c r="Z45" s="1227"/>
      <c r="AA45" s="1248"/>
      <c r="AB45" s="1317"/>
      <c r="AC45" s="1318"/>
      <c r="AD45" s="1318"/>
      <c r="AE45" s="1318"/>
      <c r="AF45" s="1318"/>
      <c r="AG45" s="1318"/>
      <c r="AH45" s="1318"/>
      <c r="AI45" s="1318"/>
      <c r="AJ45" s="1318"/>
      <c r="AK45" s="1318"/>
      <c r="AL45" s="1318"/>
      <c r="AM45" s="1318"/>
      <c r="AN45" s="1319"/>
      <c r="AY45" s="76"/>
    </row>
    <row r="46" spans="1:93" ht="40.5" customHeight="1">
      <c r="A46" s="1851"/>
      <c r="B46" s="1318"/>
      <c r="C46" s="1318"/>
      <c r="D46" s="1318"/>
      <c r="E46" s="1318"/>
      <c r="F46" s="1318"/>
      <c r="G46" s="1318"/>
      <c r="H46" s="1318"/>
      <c r="I46" s="1318"/>
      <c r="J46" s="1318"/>
      <c r="K46" s="1800"/>
      <c r="L46" s="1317"/>
      <c r="M46" s="1318"/>
      <c r="N46" s="1318"/>
      <c r="O46" s="1318"/>
      <c r="P46" s="1318"/>
      <c r="Q46" s="1318"/>
      <c r="R46" s="1318"/>
      <c r="S46" s="1318"/>
      <c r="T46" s="1318"/>
      <c r="U46" s="1318"/>
      <c r="V46" s="1318"/>
      <c r="W46" s="1800"/>
      <c r="X46" s="1226"/>
      <c r="Y46" s="1227"/>
      <c r="Z46" s="1227"/>
      <c r="AA46" s="1248"/>
      <c r="AB46" s="1317"/>
      <c r="AC46" s="1318"/>
      <c r="AD46" s="1318"/>
      <c r="AE46" s="1318"/>
      <c r="AF46" s="1318"/>
      <c r="AG46" s="1318"/>
      <c r="AH46" s="1318"/>
      <c r="AI46" s="1318"/>
      <c r="AJ46" s="1318"/>
      <c r="AK46" s="1318"/>
      <c r="AL46" s="1318"/>
      <c r="AM46" s="1318"/>
      <c r="AN46" s="1319"/>
      <c r="AZ46" s="76"/>
    </row>
    <row r="47" spans="1:93" ht="40.5" customHeight="1">
      <c r="A47" s="1851"/>
      <c r="B47" s="1318"/>
      <c r="C47" s="1318"/>
      <c r="D47" s="1318"/>
      <c r="E47" s="1318"/>
      <c r="F47" s="1318"/>
      <c r="G47" s="1318"/>
      <c r="H47" s="1318"/>
      <c r="I47" s="1318"/>
      <c r="J47" s="1318"/>
      <c r="K47" s="1800"/>
      <c r="L47" s="1317"/>
      <c r="M47" s="1318"/>
      <c r="N47" s="1318"/>
      <c r="O47" s="1318"/>
      <c r="P47" s="1318"/>
      <c r="Q47" s="1318"/>
      <c r="R47" s="1318"/>
      <c r="S47" s="1318"/>
      <c r="T47" s="1318"/>
      <c r="U47" s="1318"/>
      <c r="V47" s="1318"/>
      <c r="W47" s="1800"/>
      <c r="X47" s="1226"/>
      <c r="Y47" s="1227"/>
      <c r="Z47" s="1227"/>
      <c r="AA47" s="1248"/>
      <c r="AB47" s="1317"/>
      <c r="AC47" s="1318"/>
      <c r="AD47" s="1318"/>
      <c r="AE47" s="1318"/>
      <c r="AF47" s="1318"/>
      <c r="AG47" s="1318"/>
      <c r="AH47" s="1318"/>
      <c r="AI47" s="1318"/>
      <c r="AJ47" s="1318"/>
      <c r="AK47" s="1318"/>
      <c r="AL47" s="1318"/>
      <c r="AM47" s="1318"/>
      <c r="AN47" s="1319"/>
    </row>
    <row r="48" spans="1:93" ht="40.5" customHeight="1">
      <c r="A48" s="1851"/>
      <c r="B48" s="1318"/>
      <c r="C48" s="1318"/>
      <c r="D48" s="1318"/>
      <c r="E48" s="1318"/>
      <c r="F48" s="1318"/>
      <c r="G48" s="1318"/>
      <c r="H48" s="1318"/>
      <c r="I48" s="1318"/>
      <c r="J48" s="1318"/>
      <c r="K48" s="1800"/>
      <c r="L48" s="1317"/>
      <c r="M48" s="1318"/>
      <c r="N48" s="1318"/>
      <c r="O48" s="1318"/>
      <c r="P48" s="1318"/>
      <c r="Q48" s="1318"/>
      <c r="R48" s="1318"/>
      <c r="S48" s="1318"/>
      <c r="T48" s="1318"/>
      <c r="U48" s="1318"/>
      <c r="V48" s="1318"/>
      <c r="W48" s="1800"/>
      <c r="X48" s="1226"/>
      <c r="Y48" s="1227"/>
      <c r="Z48" s="1227"/>
      <c r="AA48" s="1248"/>
      <c r="AB48" s="1317"/>
      <c r="AC48" s="1318"/>
      <c r="AD48" s="1318"/>
      <c r="AE48" s="1318"/>
      <c r="AF48" s="1318"/>
      <c r="AG48" s="1318"/>
      <c r="AH48" s="1318"/>
      <c r="AI48" s="1318"/>
      <c r="AJ48" s="1318"/>
      <c r="AK48" s="1318"/>
      <c r="AL48" s="1318"/>
      <c r="AM48" s="1318"/>
      <c r="AN48" s="1319"/>
    </row>
    <row r="49" spans="1:71" ht="40.5" customHeight="1">
      <c r="A49" s="1851"/>
      <c r="B49" s="1318"/>
      <c r="C49" s="1318"/>
      <c r="D49" s="1318"/>
      <c r="E49" s="1318"/>
      <c r="F49" s="1318"/>
      <c r="G49" s="1318"/>
      <c r="H49" s="1318"/>
      <c r="I49" s="1318"/>
      <c r="J49" s="1318"/>
      <c r="K49" s="1800"/>
      <c r="L49" s="1317"/>
      <c r="M49" s="1318"/>
      <c r="N49" s="1318"/>
      <c r="O49" s="1318"/>
      <c r="P49" s="1318"/>
      <c r="Q49" s="1318"/>
      <c r="R49" s="1318"/>
      <c r="S49" s="1318"/>
      <c r="T49" s="1318"/>
      <c r="U49" s="1318"/>
      <c r="V49" s="1318"/>
      <c r="W49" s="1800"/>
      <c r="X49" s="1226"/>
      <c r="Y49" s="1227"/>
      <c r="Z49" s="1227"/>
      <c r="AA49" s="1248"/>
      <c r="AB49" s="1317"/>
      <c r="AC49" s="1318"/>
      <c r="AD49" s="1318"/>
      <c r="AE49" s="1318"/>
      <c r="AF49" s="1318"/>
      <c r="AG49" s="1318"/>
      <c r="AH49" s="1318"/>
      <c r="AI49" s="1318"/>
      <c r="AJ49" s="1318"/>
      <c r="AK49" s="1318"/>
      <c r="AL49" s="1318"/>
      <c r="AM49" s="1318"/>
      <c r="AN49" s="1319"/>
    </row>
    <row r="50" spans="1:71" ht="40.5" customHeight="1">
      <c r="A50" s="1851"/>
      <c r="B50" s="1318"/>
      <c r="C50" s="1318"/>
      <c r="D50" s="1318"/>
      <c r="E50" s="1318"/>
      <c r="F50" s="1318"/>
      <c r="G50" s="1318"/>
      <c r="H50" s="1318"/>
      <c r="I50" s="1318"/>
      <c r="J50" s="1318"/>
      <c r="K50" s="1800"/>
      <c r="L50" s="1317"/>
      <c r="M50" s="1318"/>
      <c r="N50" s="1318"/>
      <c r="O50" s="1318"/>
      <c r="P50" s="1318"/>
      <c r="Q50" s="1318"/>
      <c r="R50" s="1318"/>
      <c r="S50" s="1318"/>
      <c r="T50" s="1318"/>
      <c r="U50" s="1318"/>
      <c r="V50" s="1318"/>
      <c r="W50" s="1800"/>
      <c r="X50" s="1226"/>
      <c r="Y50" s="1227"/>
      <c r="Z50" s="1227"/>
      <c r="AA50" s="1248"/>
      <c r="AB50" s="1317"/>
      <c r="AC50" s="1318"/>
      <c r="AD50" s="1318"/>
      <c r="AE50" s="1318"/>
      <c r="AF50" s="1318"/>
      <c r="AG50" s="1318"/>
      <c r="AH50" s="1318"/>
      <c r="AI50" s="1318"/>
      <c r="AJ50" s="1318"/>
      <c r="AK50" s="1318"/>
      <c r="AL50" s="1318"/>
      <c r="AM50" s="1318"/>
      <c r="AN50" s="1319"/>
    </row>
    <row r="51" spans="1:71" ht="40.5" customHeight="1">
      <c r="A51" s="1851"/>
      <c r="B51" s="1318"/>
      <c r="C51" s="1318"/>
      <c r="D51" s="1318"/>
      <c r="E51" s="1318"/>
      <c r="F51" s="1318"/>
      <c r="G51" s="1318"/>
      <c r="H51" s="1318"/>
      <c r="I51" s="1318"/>
      <c r="J51" s="1318"/>
      <c r="K51" s="1800"/>
      <c r="L51" s="1317"/>
      <c r="M51" s="1318"/>
      <c r="N51" s="1318"/>
      <c r="O51" s="1318"/>
      <c r="P51" s="1318"/>
      <c r="Q51" s="1318"/>
      <c r="R51" s="1318"/>
      <c r="S51" s="1318"/>
      <c r="T51" s="1318"/>
      <c r="U51" s="1318"/>
      <c r="V51" s="1318"/>
      <c r="W51" s="1800"/>
      <c r="X51" s="1226"/>
      <c r="Y51" s="1227"/>
      <c r="Z51" s="1227"/>
      <c r="AA51" s="1248"/>
      <c r="AB51" s="1317"/>
      <c r="AC51" s="1318"/>
      <c r="AD51" s="1318"/>
      <c r="AE51" s="1318"/>
      <c r="AF51" s="1318"/>
      <c r="AG51" s="1318"/>
      <c r="AH51" s="1318"/>
      <c r="AI51" s="1318"/>
      <c r="AJ51" s="1318"/>
      <c r="AK51" s="1318"/>
      <c r="AL51" s="1318"/>
      <c r="AM51" s="1318"/>
      <c r="AN51" s="1319"/>
    </row>
    <row r="52" spans="1:71" ht="40.5" customHeight="1">
      <c r="A52" s="1851"/>
      <c r="B52" s="1318"/>
      <c r="C52" s="1318"/>
      <c r="D52" s="1318"/>
      <c r="E52" s="1318"/>
      <c r="F52" s="1318"/>
      <c r="G52" s="1318"/>
      <c r="H52" s="1318"/>
      <c r="I52" s="1318"/>
      <c r="J52" s="1318"/>
      <c r="K52" s="1800"/>
      <c r="L52" s="1317"/>
      <c r="M52" s="1318"/>
      <c r="N52" s="1318"/>
      <c r="O52" s="1318"/>
      <c r="P52" s="1318"/>
      <c r="Q52" s="1318"/>
      <c r="R52" s="1318"/>
      <c r="S52" s="1318"/>
      <c r="T52" s="1318"/>
      <c r="U52" s="1318"/>
      <c r="V52" s="1318"/>
      <c r="W52" s="1800"/>
      <c r="X52" s="1226"/>
      <c r="Y52" s="1227"/>
      <c r="Z52" s="1227"/>
      <c r="AA52" s="1248"/>
      <c r="AB52" s="1317"/>
      <c r="AC52" s="1318"/>
      <c r="AD52" s="1318"/>
      <c r="AE52" s="1318"/>
      <c r="AF52" s="1318"/>
      <c r="AG52" s="1318"/>
      <c r="AH52" s="1318"/>
      <c r="AI52" s="1318"/>
      <c r="AJ52" s="1318"/>
      <c r="AK52" s="1318"/>
      <c r="AL52" s="1318"/>
      <c r="AM52" s="1318"/>
      <c r="AN52" s="1319"/>
    </row>
    <row r="53" spans="1:71" ht="40.5" customHeight="1">
      <c r="A53" s="1851"/>
      <c r="B53" s="1318"/>
      <c r="C53" s="1318"/>
      <c r="D53" s="1318"/>
      <c r="E53" s="1318"/>
      <c r="F53" s="1318"/>
      <c r="G53" s="1318"/>
      <c r="H53" s="1318"/>
      <c r="I53" s="1318"/>
      <c r="J53" s="1318"/>
      <c r="K53" s="1800"/>
      <c r="L53" s="1317"/>
      <c r="M53" s="1318"/>
      <c r="N53" s="1318"/>
      <c r="O53" s="1318"/>
      <c r="P53" s="1318"/>
      <c r="Q53" s="1318"/>
      <c r="R53" s="1318"/>
      <c r="S53" s="1318"/>
      <c r="T53" s="1318"/>
      <c r="U53" s="1318"/>
      <c r="V53" s="1318"/>
      <c r="W53" s="1800"/>
      <c r="X53" s="1226"/>
      <c r="Y53" s="1227"/>
      <c r="Z53" s="1227"/>
      <c r="AA53" s="1248"/>
      <c r="AB53" s="1317"/>
      <c r="AC53" s="1318"/>
      <c r="AD53" s="1318"/>
      <c r="AE53" s="1318"/>
      <c r="AF53" s="1318"/>
      <c r="AG53" s="1318"/>
      <c r="AH53" s="1318"/>
      <c r="AI53" s="1318"/>
      <c r="AJ53" s="1318"/>
      <c r="AK53" s="1318"/>
      <c r="AL53" s="1318"/>
      <c r="AM53" s="1318"/>
      <c r="AN53" s="1319"/>
    </row>
    <row r="54" spans="1:71" s="78" customFormat="1" ht="40.5" customHeight="1">
      <c r="A54" s="1851"/>
      <c r="B54" s="1318"/>
      <c r="C54" s="1318"/>
      <c r="D54" s="1318"/>
      <c r="E54" s="1318"/>
      <c r="F54" s="1318"/>
      <c r="G54" s="1318"/>
      <c r="H54" s="1318"/>
      <c r="I54" s="1318"/>
      <c r="J54" s="1318"/>
      <c r="K54" s="1800"/>
      <c r="L54" s="1317"/>
      <c r="M54" s="1318"/>
      <c r="N54" s="1318"/>
      <c r="O54" s="1318"/>
      <c r="P54" s="1318"/>
      <c r="Q54" s="1318"/>
      <c r="R54" s="1318"/>
      <c r="S54" s="1318"/>
      <c r="T54" s="1318"/>
      <c r="U54" s="1318"/>
      <c r="V54" s="1318"/>
      <c r="W54" s="1800"/>
      <c r="X54" s="1226"/>
      <c r="Y54" s="1227"/>
      <c r="Z54" s="1227"/>
      <c r="AA54" s="1248"/>
      <c r="AB54" s="1317"/>
      <c r="AC54" s="1318"/>
      <c r="AD54" s="1318"/>
      <c r="AE54" s="1318"/>
      <c r="AF54" s="1318"/>
      <c r="AG54" s="1318"/>
      <c r="AH54" s="1318"/>
      <c r="AI54" s="1318"/>
      <c r="AJ54" s="1318"/>
      <c r="AK54" s="1318"/>
      <c r="AL54" s="1318"/>
      <c r="AM54" s="1318"/>
      <c r="AN54" s="1319"/>
      <c r="AO54" s="25"/>
      <c r="AP54" s="25"/>
      <c r="AQ54" s="25"/>
      <c r="AR54" s="25"/>
      <c r="AS54" s="25"/>
      <c r="AT54" s="25"/>
      <c r="AU54" s="25"/>
      <c r="AV54" s="25"/>
      <c r="AW54" s="25"/>
      <c r="AX54" s="25"/>
      <c r="AY54" s="25"/>
      <c r="AZ54" s="25"/>
      <c r="BA54" s="25"/>
      <c r="BB54" s="25"/>
      <c r="BC54" s="25"/>
      <c r="BD54" s="25"/>
      <c r="BE54" s="25"/>
      <c r="BF54" s="25"/>
      <c r="BG54" s="25"/>
      <c r="BH54" s="25"/>
      <c r="BI54" s="25"/>
      <c r="BJ54" s="25"/>
      <c r="BK54" s="25"/>
      <c r="BL54" s="25"/>
      <c r="BM54" s="25"/>
      <c r="BN54" s="25"/>
      <c r="BO54" s="25"/>
      <c r="BP54" s="25"/>
      <c r="BQ54" s="25"/>
      <c r="BR54" s="25"/>
      <c r="BS54" s="25"/>
    </row>
    <row r="55" spans="1:71" s="78" customFormat="1" ht="40.5" customHeight="1">
      <c r="A55" s="1851"/>
      <c r="B55" s="1318"/>
      <c r="C55" s="1318"/>
      <c r="D55" s="1318"/>
      <c r="E55" s="1318"/>
      <c r="F55" s="1318"/>
      <c r="G55" s="1318"/>
      <c r="H55" s="1318"/>
      <c r="I55" s="1318"/>
      <c r="J55" s="1318"/>
      <c r="K55" s="1800"/>
      <c r="L55" s="1317"/>
      <c r="M55" s="1318"/>
      <c r="N55" s="1318"/>
      <c r="O55" s="1318"/>
      <c r="P55" s="1318"/>
      <c r="Q55" s="1318"/>
      <c r="R55" s="1318"/>
      <c r="S55" s="1318"/>
      <c r="T55" s="1318"/>
      <c r="U55" s="1318"/>
      <c r="V55" s="1318"/>
      <c r="W55" s="1800"/>
      <c r="X55" s="1226"/>
      <c r="Y55" s="1227"/>
      <c r="Z55" s="1227"/>
      <c r="AA55" s="1248"/>
      <c r="AB55" s="1317"/>
      <c r="AC55" s="1318"/>
      <c r="AD55" s="1318"/>
      <c r="AE55" s="1318"/>
      <c r="AF55" s="1318"/>
      <c r="AG55" s="1318"/>
      <c r="AH55" s="1318"/>
      <c r="AI55" s="1318"/>
      <c r="AJ55" s="1318"/>
      <c r="AK55" s="1318"/>
      <c r="AL55" s="1318"/>
      <c r="AM55" s="1318"/>
      <c r="AN55" s="1319"/>
      <c r="AO55" s="25"/>
      <c r="AP55" s="25"/>
      <c r="AQ55" s="25"/>
      <c r="AR55" s="25"/>
      <c r="AS55" s="25"/>
      <c r="AT55" s="25"/>
      <c r="AU55" s="25"/>
      <c r="AV55" s="25"/>
      <c r="AW55" s="25"/>
      <c r="AX55" s="25"/>
      <c r="AY55" s="25"/>
      <c r="AZ55" s="25"/>
      <c r="BA55" s="25"/>
      <c r="BB55" s="25"/>
      <c r="BC55" s="25"/>
      <c r="BD55" s="25"/>
      <c r="BE55" s="25"/>
      <c r="BF55" s="25"/>
      <c r="BG55" s="25"/>
      <c r="BH55" s="25"/>
      <c r="BI55" s="25"/>
      <c r="BJ55" s="25"/>
      <c r="BK55" s="25"/>
      <c r="BL55" s="25"/>
      <c r="BM55" s="25"/>
      <c r="BN55" s="25"/>
      <c r="BO55" s="25"/>
      <c r="BP55" s="25"/>
      <c r="BQ55" s="25"/>
      <c r="BR55" s="25"/>
      <c r="BS55" s="25"/>
    </row>
    <row r="56" spans="1:71" s="78" customFormat="1" ht="40.5" customHeight="1">
      <c r="A56" s="1851"/>
      <c r="B56" s="1318"/>
      <c r="C56" s="1318"/>
      <c r="D56" s="1318"/>
      <c r="E56" s="1318"/>
      <c r="F56" s="1318"/>
      <c r="G56" s="1318"/>
      <c r="H56" s="1318"/>
      <c r="I56" s="1318"/>
      <c r="J56" s="1318"/>
      <c r="K56" s="1800"/>
      <c r="L56" s="1317"/>
      <c r="M56" s="1318"/>
      <c r="N56" s="1318"/>
      <c r="O56" s="1318"/>
      <c r="P56" s="1318"/>
      <c r="Q56" s="1318"/>
      <c r="R56" s="1318"/>
      <c r="S56" s="1318"/>
      <c r="T56" s="1318"/>
      <c r="U56" s="1318"/>
      <c r="V56" s="1318"/>
      <c r="W56" s="1800"/>
      <c r="X56" s="1226"/>
      <c r="Y56" s="1227"/>
      <c r="Z56" s="1227"/>
      <c r="AA56" s="1248"/>
      <c r="AB56" s="1317"/>
      <c r="AC56" s="1318"/>
      <c r="AD56" s="1318"/>
      <c r="AE56" s="1318"/>
      <c r="AF56" s="1318"/>
      <c r="AG56" s="1318"/>
      <c r="AH56" s="1318"/>
      <c r="AI56" s="1318"/>
      <c r="AJ56" s="1318"/>
      <c r="AK56" s="1318"/>
      <c r="AL56" s="1318"/>
      <c r="AM56" s="1318"/>
      <c r="AN56" s="1319"/>
      <c r="AO56" s="25"/>
      <c r="AP56" s="25"/>
      <c r="AQ56" s="25"/>
      <c r="AR56" s="25"/>
      <c r="AS56" s="25"/>
      <c r="AT56" s="25"/>
      <c r="AU56" s="25"/>
      <c r="AV56" s="25"/>
      <c r="AW56" s="25"/>
      <c r="AX56" s="25"/>
      <c r="AY56" s="25"/>
      <c r="AZ56" s="25"/>
      <c r="BA56" s="25"/>
      <c r="BB56" s="25"/>
      <c r="BC56" s="25"/>
      <c r="BD56" s="25"/>
      <c r="BE56" s="25"/>
      <c r="BF56" s="25"/>
      <c r="BG56" s="25"/>
      <c r="BH56" s="25"/>
      <c r="BI56" s="25"/>
      <c r="BJ56" s="25"/>
      <c r="BK56" s="25"/>
      <c r="BL56" s="25"/>
      <c r="BM56" s="25"/>
      <c r="BN56" s="25"/>
      <c r="BO56" s="25"/>
      <c r="BP56" s="25"/>
      <c r="BQ56" s="25"/>
      <c r="BR56" s="25"/>
      <c r="BS56" s="25"/>
    </row>
    <row r="57" spans="1:71" ht="40.5" customHeight="1">
      <c r="A57" s="1851"/>
      <c r="B57" s="1318"/>
      <c r="C57" s="1318"/>
      <c r="D57" s="1318"/>
      <c r="E57" s="1318"/>
      <c r="F57" s="1318"/>
      <c r="G57" s="1318"/>
      <c r="H57" s="1318"/>
      <c r="I57" s="1318"/>
      <c r="J57" s="1318"/>
      <c r="K57" s="1800"/>
      <c r="L57" s="1317"/>
      <c r="M57" s="1318"/>
      <c r="N57" s="1318"/>
      <c r="O57" s="1318"/>
      <c r="P57" s="1318"/>
      <c r="Q57" s="1318"/>
      <c r="R57" s="1318"/>
      <c r="S57" s="1318"/>
      <c r="T57" s="1318"/>
      <c r="U57" s="1318"/>
      <c r="V57" s="1318"/>
      <c r="W57" s="1800"/>
      <c r="X57" s="1226"/>
      <c r="Y57" s="1227"/>
      <c r="Z57" s="1227"/>
      <c r="AA57" s="1248"/>
      <c r="AB57" s="1317"/>
      <c r="AC57" s="1318"/>
      <c r="AD57" s="1318"/>
      <c r="AE57" s="1318"/>
      <c r="AF57" s="1318"/>
      <c r="AG57" s="1318"/>
      <c r="AH57" s="1318"/>
      <c r="AI57" s="1318"/>
      <c r="AJ57" s="1318"/>
      <c r="AK57" s="1318"/>
      <c r="AL57" s="1318"/>
      <c r="AM57" s="1318"/>
      <c r="AN57" s="1319"/>
    </row>
    <row r="58" spans="1:71" ht="40.5" customHeight="1">
      <c r="A58" s="1851"/>
      <c r="B58" s="1318"/>
      <c r="C58" s="1318"/>
      <c r="D58" s="1318"/>
      <c r="E58" s="1318"/>
      <c r="F58" s="1318"/>
      <c r="G58" s="1318"/>
      <c r="H58" s="1318"/>
      <c r="I58" s="1318"/>
      <c r="J58" s="1318"/>
      <c r="K58" s="1800"/>
      <c r="L58" s="1317"/>
      <c r="M58" s="1318"/>
      <c r="N58" s="1318"/>
      <c r="O58" s="1318"/>
      <c r="P58" s="1318"/>
      <c r="Q58" s="1318"/>
      <c r="R58" s="1318"/>
      <c r="S58" s="1318"/>
      <c r="T58" s="1318"/>
      <c r="U58" s="1318"/>
      <c r="V58" s="1318"/>
      <c r="W58" s="1800"/>
      <c r="X58" s="1226"/>
      <c r="Y58" s="1227"/>
      <c r="Z58" s="1227"/>
      <c r="AA58" s="1248"/>
      <c r="AB58" s="1317"/>
      <c r="AC58" s="1318"/>
      <c r="AD58" s="1318"/>
      <c r="AE58" s="1318"/>
      <c r="AF58" s="1318"/>
      <c r="AG58" s="1318"/>
      <c r="AH58" s="1318"/>
      <c r="AI58" s="1318"/>
      <c r="AJ58" s="1318"/>
      <c r="AK58" s="1318"/>
      <c r="AL58" s="1318"/>
      <c r="AM58" s="1318"/>
      <c r="AN58" s="1319"/>
    </row>
    <row r="59" spans="1:71" ht="40.5" customHeight="1">
      <c r="A59" s="1851"/>
      <c r="B59" s="1318"/>
      <c r="C59" s="1318"/>
      <c r="D59" s="1318"/>
      <c r="E59" s="1318"/>
      <c r="F59" s="1318"/>
      <c r="G59" s="1318"/>
      <c r="H59" s="1318"/>
      <c r="I59" s="1318"/>
      <c r="J59" s="1318"/>
      <c r="K59" s="1800"/>
      <c r="L59" s="1317"/>
      <c r="M59" s="1318"/>
      <c r="N59" s="1318"/>
      <c r="O59" s="1318"/>
      <c r="P59" s="1318"/>
      <c r="Q59" s="1318"/>
      <c r="R59" s="1318"/>
      <c r="S59" s="1318"/>
      <c r="T59" s="1318"/>
      <c r="U59" s="1318"/>
      <c r="V59" s="1318"/>
      <c r="W59" s="1800"/>
      <c r="X59" s="1226"/>
      <c r="Y59" s="1227"/>
      <c r="Z59" s="1227"/>
      <c r="AA59" s="1248"/>
      <c r="AB59" s="1317"/>
      <c r="AC59" s="1318"/>
      <c r="AD59" s="1318"/>
      <c r="AE59" s="1318"/>
      <c r="AF59" s="1318"/>
      <c r="AG59" s="1318"/>
      <c r="AH59" s="1318"/>
      <c r="AI59" s="1318"/>
      <c r="AJ59" s="1318"/>
      <c r="AK59" s="1318"/>
      <c r="AL59" s="1318"/>
      <c r="AM59" s="1318"/>
      <c r="AN59" s="1319"/>
    </row>
    <row r="60" spans="1:71" ht="40.5" customHeight="1" thickBot="1">
      <c r="A60" s="1845"/>
      <c r="B60" s="1846"/>
      <c r="C60" s="1846"/>
      <c r="D60" s="1846"/>
      <c r="E60" s="1846"/>
      <c r="F60" s="1846"/>
      <c r="G60" s="1846"/>
      <c r="H60" s="1846"/>
      <c r="I60" s="1846"/>
      <c r="J60" s="1846"/>
      <c r="K60" s="1847"/>
      <c r="L60" s="1852"/>
      <c r="M60" s="1846"/>
      <c r="N60" s="1846"/>
      <c r="O60" s="1846"/>
      <c r="P60" s="1846"/>
      <c r="Q60" s="1846"/>
      <c r="R60" s="1846"/>
      <c r="S60" s="1846"/>
      <c r="T60" s="1846"/>
      <c r="U60" s="1846"/>
      <c r="V60" s="1846"/>
      <c r="W60" s="1847"/>
      <c r="X60" s="1249"/>
      <c r="Y60" s="1250"/>
      <c r="Z60" s="1250"/>
      <c r="AA60" s="1251"/>
      <c r="AB60" s="1320"/>
      <c r="AC60" s="1321"/>
      <c r="AD60" s="1321"/>
      <c r="AE60" s="1321"/>
      <c r="AF60" s="1321"/>
      <c r="AG60" s="1321"/>
      <c r="AH60" s="1321"/>
      <c r="AI60" s="1321"/>
      <c r="AJ60" s="1321"/>
      <c r="AK60" s="1321"/>
      <c r="AL60" s="1321"/>
      <c r="AM60" s="1321"/>
      <c r="AN60" s="1322"/>
    </row>
    <row r="61" spans="1:71" s="113" customFormat="1" ht="16.5">
      <c r="A61" s="132"/>
      <c r="B61" s="132"/>
      <c r="C61" s="132"/>
      <c r="D61" s="132"/>
      <c r="E61" s="132"/>
      <c r="F61" s="132"/>
      <c r="G61" s="132"/>
      <c r="H61" s="132"/>
      <c r="I61" s="132"/>
      <c r="J61" s="132"/>
      <c r="K61" s="132"/>
      <c r="L61" s="132"/>
      <c r="M61" s="132"/>
      <c r="N61" s="132"/>
      <c r="O61" s="132"/>
      <c r="P61" s="132"/>
      <c r="Q61" s="132"/>
      <c r="R61" s="132"/>
      <c r="S61" s="132"/>
      <c r="T61" s="132"/>
      <c r="U61" s="132"/>
      <c r="V61" s="132"/>
      <c r="W61" s="132"/>
      <c r="X61" s="132"/>
      <c r="Y61" s="132"/>
      <c r="Z61" s="132"/>
      <c r="AA61" s="132"/>
      <c r="AB61" s="132"/>
      <c r="AC61" s="132"/>
      <c r="AD61" s="132"/>
      <c r="AE61" s="132"/>
      <c r="AF61" s="132"/>
      <c r="AG61" s="132"/>
      <c r="AH61" s="132"/>
      <c r="AI61" s="132"/>
      <c r="AJ61" s="132"/>
      <c r="AK61" s="132"/>
      <c r="AL61" s="132"/>
      <c r="AM61" s="132"/>
      <c r="AN61" s="132"/>
    </row>
    <row r="62" spans="1:71" s="113" customFormat="1" ht="16.5">
      <c r="A62" s="128"/>
      <c r="B62" s="128"/>
      <c r="C62" s="128"/>
      <c r="D62" s="128"/>
      <c r="E62" s="128"/>
      <c r="F62" s="128"/>
      <c r="G62" s="133"/>
      <c r="H62" s="133"/>
      <c r="I62" s="133"/>
      <c r="J62" s="133"/>
      <c r="K62" s="133"/>
      <c r="L62" s="133"/>
      <c r="M62" s="133"/>
      <c r="N62" s="133"/>
      <c r="O62" s="133"/>
      <c r="P62" s="133"/>
      <c r="Q62" s="133"/>
      <c r="R62" s="128"/>
      <c r="S62" s="128"/>
      <c r="T62" s="128"/>
      <c r="U62" s="128"/>
      <c r="V62" s="128"/>
      <c r="W62" s="128"/>
      <c r="X62" s="128"/>
      <c r="Y62" s="128"/>
      <c r="Z62" s="128"/>
      <c r="AA62" s="128"/>
      <c r="AB62" s="128"/>
      <c r="AC62" s="128"/>
      <c r="AD62" s="128"/>
      <c r="AE62" s="128"/>
      <c r="AF62" s="128"/>
      <c r="AG62" s="128"/>
      <c r="AH62" s="128"/>
      <c r="AI62" s="128"/>
      <c r="AJ62" s="128"/>
      <c r="AK62" s="134"/>
      <c r="AL62" s="134"/>
      <c r="AM62" s="134"/>
      <c r="AN62" s="134"/>
    </row>
    <row r="63" spans="1:71" s="113" customFormat="1" ht="16.5">
      <c r="A63" s="135"/>
      <c r="B63" s="135"/>
      <c r="C63" s="135"/>
      <c r="D63" s="135"/>
      <c r="E63" s="135"/>
      <c r="F63" s="135"/>
      <c r="G63" s="135"/>
      <c r="H63" s="135"/>
      <c r="I63" s="135"/>
      <c r="J63" s="135"/>
      <c r="K63" s="135"/>
      <c r="L63" s="135"/>
      <c r="M63" s="135"/>
      <c r="N63" s="135"/>
      <c r="O63" s="135"/>
      <c r="P63" s="135"/>
      <c r="Q63" s="135"/>
      <c r="R63" s="128"/>
      <c r="S63" s="128"/>
      <c r="T63" s="128"/>
      <c r="U63" s="128"/>
      <c r="V63" s="128"/>
      <c r="W63" s="128"/>
      <c r="X63" s="128"/>
      <c r="Y63" s="128"/>
      <c r="Z63" s="128"/>
      <c r="AA63" s="128"/>
      <c r="AB63" s="128"/>
      <c r="AC63" s="128"/>
      <c r="AD63" s="128"/>
      <c r="AE63" s="128"/>
      <c r="AF63" s="128"/>
      <c r="AG63" s="128"/>
      <c r="AH63" s="128"/>
      <c r="AI63" s="128"/>
      <c r="AJ63" s="128"/>
      <c r="AK63" s="134"/>
      <c r="AL63" s="134"/>
      <c r="AM63" s="134"/>
      <c r="AN63" s="134"/>
    </row>
    <row r="64" spans="1:71" s="113" customFormat="1" ht="16.5">
      <c r="A64" s="135"/>
      <c r="B64" s="135"/>
      <c r="C64" s="135"/>
      <c r="D64" s="135"/>
      <c r="E64" s="135"/>
      <c r="F64" s="135"/>
      <c r="G64" s="135"/>
      <c r="H64" s="135"/>
      <c r="I64" s="135"/>
      <c r="J64" s="135"/>
      <c r="K64" s="135"/>
      <c r="L64" s="135"/>
      <c r="M64" s="135"/>
      <c r="N64" s="135"/>
      <c r="O64" s="135"/>
      <c r="P64" s="135"/>
      <c r="Q64" s="135"/>
      <c r="R64" s="128"/>
      <c r="S64" s="128"/>
      <c r="T64" s="128"/>
      <c r="U64" s="128"/>
      <c r="V64" s="128"/>
      <c r="W64" s="128"/>
      <c r="X64" s="128"/>
      <c r="Y64" s="128"/>
      <c r="Z64" s="127"/>
      <c r="AA64" s="127"/>
      <c r="AB64" s="127"/>
      <c r="AC64" s="127"/>
      <c r="AD64" s="127"/>
      <c r="AE64" s="127"/>
      <c r="AF64" s="127"/>
      <c r="AG64" s="127"/>
      <c r="AH64" s="127"/>
      <c r="AI64" s="127"/>
      <c r="AJ64" s="127"/>
      <c r="AK64" s="127"/>
      <c r="AL64" s="127"/>
      <c r="AM64" s="127"/>
      <c r="AN64" s="127"/>
    </row>
    <row r="65" spans="1:40" s="113" customFormat="1" ht="11.25" customHeight="1">
      <c r="A65" s="135"/>
      <c r="B65" s="135"/>
      <c r="C65" s="135"/>
      <c r="D65" s="135"/>
      <c r="E65" s="135"/>
      <c r="F65" s="135"/>
      <c r="G65" s="135"/>
      <c r="H65" s="135"/>
      <c r="I65" s="135"/>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35"/>
      <c r="AG65" s="135"/>
      <c r="AH65" s="135"/>
      <c r="AI65" s="135"/>
      <c r="AJ65" s="135"/>
      <c r="AK65" s="135"/>
      <c r="AL65" s="135"/>
      <c r="AM65" s="135"/>
      <c r="AN65" s="135"/>
    </row>
    <row r="66" spans="1:40" s="113" customFormat="1" ht="11.25" customHeight="1">
      <c r="A66" s="135"/>
      <c r="B66" s="135"/>
      <c r="C66" s="135"/>
      <c r="D66" s="135"/>
      <c r="E66" s="135"/>
      <c r="F66" s="135"/>
      <c r="G66" s="135"/>
      <c r="H66" s="135"/>
      <c r="I66" s="135"/>
      <c r="J66" s="135"/>
      <c r="K66" s="135"/>
      <c r="L66" s="135"/>
      <c r="M66" s="135"/>
      <c r="N66" s="135"/>
      <c r="O66" s="135"/>
      <c r="P66" s="135"/>
      <c r="Q66" s="135"/>
      <c r="R66" s="135"/>
      <c r="S66" s="135"/>
      <c r="T66" s="135"/>
      <c r="U66" s="135"/>
      <c r="V66" s="135"/>
      <c r="W66" s="135"/>
      <c r="X66" s="135"/>
      <c r="Y66" s="135"/>
      <c r="Z66" s="135"/>
      <c r="AA66" s="135"/>
      <c r="AB66" s="135"/>
      <c r="AC66" s="135"/>
      <c r="AD66" s="135"/>
      <c r="AE66" s="135"/>
      <c r="AF66" s="135"/>
      <c r="AG66" s="135"/>
      <c r="AH66" s="135"/>
      <c r="AI66" s="135"/>
      <c r="AJ66" s="135"/>
      <c r="AK66" s="135"/>
      <c r="AL66" s="135"/>
      <c r="AM66" s="135"/>
      <c r="AN66" s="135"/>
    </row>
    <row r="67" spans="1:40" s="113" customFormat="1" ht="11.25" customHeight="1">
      <c r="A67" s="135"/>
      <c r="B67" s="135"/>
      <c r="C67" s="135"/>
      <c r="D67" s="135"/>
      <c r="E67" s="135"/>
      <c r="F67" s="135"/>
      <c r="G67" s="135"/>
      <c r="H67" s="135"/>
      <c r="I67" s="135"/>
      <c r="J67" s="135"/>
      <c r="K67" s="135"/>
      <c r="L67" s="135"/>
      <c r="M67" s="135"/>
      <c r="N67" s="135"/>
      <c r="O67" s="135"/>
      <c r="P67" s="135"/>
      <c r="Q67" s="135"/>
      <c r="R67" s="135"/>
      <c r="S67" s="135"/>
      <c r="T67" s="135"/>
      <c r="U67" s="135"/>
      <c r="V67" s="135"/>
      <c r="W67" s="135"/>
      <c r="X67" s="135"/>
      <c r="Y67" s="135"/>
      <c r="Z67" s="135"/>
      <c r="AA67" s="135"/>
      <c r="AB67" s="135"/>
      <c r="AC67" s="135"/>
      <c r="AD67" s="135"/>
      <c r="AE67" s="135"/>
      <c r="AF67" s="135"/>
      <c r="AG67" s="135"/>
      <c r="AH67" s="135"/>
      <c r="AI67" s="135"/>
      <c r="AJ67" s="135"/>
      <c r="AK67" s="135"/>
      <c r="AL67" s="135"/>
      <c r="AM67" s="135"/>
      <c r="AN67" s="135"/>
    </row>
    <row r="68" spans="1:40" s="113" customFormat="1" ht="16.5" customHeight="1">
      <c r="A68" s="126"/>
      <c r="B68" s="126"/>
      <c r="C68" s="126"/>
      <c r="D68" s="126"/>
      <c r="E68" s="126"/>
      <c r="F68" s="127"/>
      <c r="G68" s="127"/>
      <c r="H68" s="127"/>
      <c r="I68" s="127"/>
      <c r="J68" s="127"/>
      <c r="K68" s="127"/>
      <c r="L68" s="127"/>
      <c r="M68" s="127"/>
      <c r="N68" s="127"/>
      <c r="O68" s="127"/>
      <c r="P68" s="127"/>
      <c r="Q68" s="127"/>
      <c r="R68" s="126"/>
      <c r="S68" s="126"/>
      <c r="T68" s="126"/>
      <c r="U68" s="126"/>
      <c r="V68" s="126"/>
      <c r="W68" s="127"/>
      <c r="X68" s="127"/>
      <c r="Y68" s="127"/>
      <c r="Z68" s="127"/>
      <c r="AA68" s="127"/>
      <c r="AB68" s="127"/>
      <c r="AC68" s="127"/>
      <c r="AD68" s="127"/>
      <c r="AE68" s="127"/>
      <c r="AF68" s="127"/>
      <c r="AG68" s="127"/>
      <c r="AH68" s="127"/>
      <c r="AI68" s="127"/>
      <c r="AJ68" s="127"/>
      <c r="AK68" s="127"/>
      <c r="AL68" s="127"/>
      <c r="AM68" s="127"/>
      <c r="AN68" s="127"/>
    </row>
    <row r="69" spans="1:40" s="113" customFormat="1" ht="16.5" customHeight="1">
      <c r="A69" s="126"/>
      <c r="B69" s="126"/>
      <c r="C69" s="126"/>
      <c r="D69" s="126"/>
      <c r="E69" s="126"/>
      <c r="F69" s="126"/>
      <c r="G69" s="127"/>
      <c r="H69" s="127"/>
      <c r="I69" s="127"/>
      <c r="J69" s="127"/>
      <c r="K69" s="127"/>
      <c r="L69" s="127"/>
      <c r="M69" s="127"/>
      <c r="N69" s="127"/>
      <c r="O69" s="127"/>
      <c r="P69" s="127"/>
      <c r="Q69" s="127"/>
      <c r="R69" s="126"/>
      <c r="S69" s="126"/>
      <c r="T69" s="126"/>
      <c r="U69" s="136"/>
      <c r="V69" s="136"/>
      <c r="W69" s="136"/>
      <c r="X69" s="127"/>
      <c r="Y69" s="127"/>
      <c r="Z69" s="127"/>
      <c r="AA69" s="127"/>
      <c r="AB69" s="127"/>
      <c r="AC69" s="127"/>
      <c r="AD69" s="127"/>
      <c r="AE69" s="127"/>
      <c r="AF69" s="127"/>
      <c r="AG69" s="127"/>
      <c r="AH69" s="127"/>
      <c r="AI69" s="127"/>
      <c r="AJ69" s="127"/>
      <c r="AK69" s="127"/>
      <c r="AL69" s="127"/>
      <c r="AM69" s="127"/>
      <c r="AN69" s="127"/>
    </row>
    <row r="70" spans="1:40" s="113" customFormat="1" ht="16.5" customHeight="1">
      <c r="A70" s="126"/>
      <c r="B70" s="126"/>
      <c r="C70" s="126"/>
      <c r="D70" s="126"/>
      <c r="E70" s="126"/>
      <c r="F70" s="127"/>
      <c r="G70" s="127"/>
      <c r="H70" s="127"/>
      <c r="I70" s="127"/>
      <c r="J70" s="127"/>
      <c r="K70" s="127"/>
      <c r="L70" s="127"/>
      <c r="M70" s="127"/>
      <c r="N70" s="127"/>
      <c r="O70" s="127"/>
      <c r="P70" s="127"/>
      <c r="Q70" s="127"/>
      <c r="R70" s="126"/>
      <c r="S70" s="126"/>
      <c r="T70" s="126"/>
      <c r="U70" s="126"/>
      <c r="V70" s="126"/>
      <c r="W70" s="126"/>
      <c r="X70" s="127"/>
      <c r="Y70" s="127"/>
      <c r="Z70" s="127"/>
      <c r="AA70" s="127"/>
      <c r="AB70" s="127"/>
      <c r="AC70" s="127"/>
      <c r="AD70" s="127"/>
      <c r="AE70" s="127"/>
      <c r="AF70" s="127"/>
      <c r="AG70" s="127"/>
      <c r="AH70" s="127"/>
      <c r="AI70" s="127"/>
      <c r="AJ70" s="127"/>
      <c r="AK70" s="127"/>
      <c r="AL70" s="127"/>
      <c r="AM70" s="127"/>
      <c r="AN70" s="127"/>
    </row>
    <row r="71" spans="1:40" s="113" customFormat="1" ht="16.5" customHeight="1">
      <c r="A71" s="126"/>
      <c r="B71" s="126"/>
      <c r="C71" s="126"/>
      <c r="D71" s="126"/>
      <c r="E71" s="126"/>
      <c r="F71" s="127"/>
      <c r="G71" s="127"/>
      <c r="H71" s="127"/>
      <c r="I71" s="127"/>
      <c r="J71" s="127"/>
      <c r="K71" s="127"/>
      <c r="L71" s="127"/>
      <c r="M71" s="127"/>
      <c r="N71" s="127"/>
      <c r="O71" s="127"/>
      <c r="P71" s="127"/>
      <c r="Q71" s="127"/>
      <c r="R71" s="126"/>
      <c r="S71" s="126"/>
      <c r="T71" s="126"/>
      <c r="U71" s="126"/>
      <c r="V71" s="126"/>
      <c r="W71" s="127"/>
      <c r="X71" s="127"/>
      <c r="Y71" s="127"/>
      <c r="Z71" s="127"/>
      <c r="AA71" s="127"/>
      <c r="AB71" s="127"/>
      <c r="AC71" s="127"/>
      <c r="AD71" s="127"/>
      <c r="AE71" s="127"/>
      <c r="AF71" s="127"/>
      <c r="AG71" s="127"/>
      <c r="AH71" s="127"/>
      <c r="AI71" s="127"/>
      <c r="AJ71" s="127"/>
      <c r="AK71" s="127"/>
      <c r="AL71" s="127"/>
      <c r="AM71" s="127"/>
      <c r="AN71" s="127"/>
    </row>
    <row r="72" spans="1:40" s="113" customFormat="1" ht="16.5" customHeight="1">
      <c r="A72" s="126"/>
      <c r="B72" s="126"/>
      <c r="C72" s="126"/>
      <c r="D72" s="126"/>
      <c r="E72" s="126"/>
      <c r="F72" s="127"/>
      <c r="G72" s="127"/>
      <c r="H72" s="127"/>
      <c r="I72" s="127"/>
      <c r="J72" s="127"/>
      <c r="K72" s="127"/>
      <c r="L72" s="127"/>
      <c r="M72" s="127"/>
      <c r="N72" s="127"/>
      <c r="O72" s="127"/>
      <c r="P72" s="127"/>
      <c r="Q72" s="127"/>
      <c r="R72" s="126"/>
      <c r="S72" s="126"/>
      <c r="T72" s="126"/>
      <c r="U72" s="126"/>
      <c r="V72" s="126"/>
      <c r="W72" s="127"/>
      <c r="X72" s="127"/>
      <c r="Y72" s="127"/>
      <c r="Z72" s="127"/>
      <c r="AA72" s="127"/>
      <c r="AB72" s="127"/>
      <c r="AC72" s="127"/>
      <c r="AD72" s="127"/>
      <c r="AE72" s="127"/>
      <c r="AF72" s="127"/>
      <c r="AG72" s="127"/>
      <c r="AH72" s="127"/>
      <c r="AI72" s="127"/>
      <c r="AJ72" s="127"/>
      <c r="AK72" s="127"/>
      <c r="AL72" s="127"/>
      <c r="AM72" s="127"/>
      <c r="AN72" s="127"/>
    </row>
    <row r="73" spans="1:40" s="113" customFormat="1" ht="33.75" customHeight="1">
      <c r="A73" s="128"/>
      <c r="B73" s="128"/>
      <c r="C73" s="128"/>
      <c r="D73" s="128"/>
      <c r="E73" s="128"/>
      <c r="F73" s="129"/>
      <c r="G73" s="127"/>
      <c r="H73" s="128"/>
      <c r="I73" s="128"/>
      <c r="J73" s="128"/>
      <c r="K73" s="128"/>
      <c r="L73" s="127"/>
      <c r="M73" s="127"/>
      <c r="N73" s="127"/>
      <c r="O73" s="127"/>
      <c r="P73" s="127"/>
      <c r="Q73" s="127"/>
      <c r="R73" s="128"/>
      <c r="S73" s="128"/>
      <c r="T73" s="128"/>
      <c r="U73" s="128"/>
      <c r="V73" s="128"/>
      <c r="W73" s="129"/>
      <c r="X73" s="127"/>
      <c r="Y73" s="127"/>
      <c r="Z73" s="127"/>
      <c r="AA73" s="128"/>
      <c r="AB73" s="128"/>
      <c r="AC73" s="128"/>
      <c r="AD73" s="128"/>
      <c r="AE73" s="128"/>
      <c r="AF73" s="127"/>
      <c r="AG73" s="127"/>
      <c r="AH73" s="127"/>
      <c r="AI73" s="127"/>
      <c r="AJ73" s="127"/>
      <c r="AK73" s="127"/>
      <c r="AL73" s="127"/>
      <c r="AM73" s="127"/>
      <c r="AN73" s="127"/>
    </row>
    <row r="74" spans="1:40" s="113" customFormat="1"/>
    <row r="75" spans="1:40" s="113" customFormat="1">
      <c r="A75" s="114"/>
      <c r="B75" s="114"/>
      <c r="C75" s="114"/>
      <c r="D75" s="114"/>
      <c r="E75" s="114"/>
      <c r="F75" s="114"/>
      <c r="G75" s="114"/>
      <c r="H75" s="114"/>
      <c r="I75" s="114"/>
      <c r="J75" s="114"/>
      <c r="K75" s="115"/>
      <c r="L75" s="115"/>
      <c r="M75" s="115"/>
      <c r="N75" s="115"/>
      <c r="O75" s="115"/>
      <c r="P75" s="115"/>
      <c r="Q75" s="114"/>
      <c r="R75" s="114"/>
      <c r="S75" s="114"/>
      <c r="T75" s="114"/>
      <c r="U75" s="114"/>
      <c r="V75" s="114"/>
      <c r="W75" s="114"/>
      <c r="X75" s="114"/>
    </row>
    <row r="76" spans="1:40" s="113" customFormat="1">
      <c r="A76" s="116"/>
      <c r="B76" s="116"/>
      <c r="C76" s="116"/>
      <c r="D76" s="116"/>
      <c r="E76" s="117"/>
      <c r="F76" s="117"/>
      <c r="G76" s="117"/>
      <c r="H76" s="117"/>
      <c r="I76" s="117"/>
      <c r="J76" s="117"/>
      <c r="K76" s="116"/>
      <c r="L76" s="116"/>
      <c r="M76" s="116"/>
      <c r="N76" s="116"/>
      <c r="O76" s="116"/>
      <c r="P76" s="116"/>
      <c r="Q76" s="116"/>
      <c r="R76" s="116"/>
      <c r="S76" s="116"/>
      <c r="T76" s="116"/>
      <c r="U76" s="118"/>
      <c r="V76" s="116"/>
      <c r="W76" s="116"/>
      <c r="X76" s="116"/>
    </row>
    <row r="77" spans="1:40" s="113" customFormat="1">
      <c r="A77" s="76"/>
      <c r="B77" s="76"/>
      <c r="C77" s="76"/>
      <c r="D77" s="76"/>
      <c r="E77" s="76"/>
      <c r="F77" s="76"/>
      <c r="G77" s="76"/>
      <c r="H77" s="76"/>
      <c r="I77" s="76"/>
      <c r="J77" s="76"/>
      <c r="K77" s="76"/>
      <c r="L77" s="76"/>
      <c r="M77" s="76"/>
      <c r="N77" s="76"/>
      <c r="O77" s="76"/>
      <c r="P77" s="76"/>
      <c r="Q77" s="76"/>
      <c r="R77" s="76"/>
      <c r="S77" s="76"/>
      <c r="T77" s="76"/>
      <c r="U77" s="75"/>
      <c r="V77" s="76"/>
      <c r="W77" s="76"/>
      <c r="X77" s="76"/>
    </row>
    <row r="78" spans="1:40" s="113" customFormat="1">
      <c r="A78" s="76"/>
      <c r="B78" s="76"/>
      <c r="C78" s="76"/>
      <c r="D78" s="76"/>
      <c r="E78" s="76"/>
      <c r="F78" s="76"/>
      <c r="G78" s="76"/>
      <c r="H78" s="76"/>
      <c r="I78" s="76"/>
      <c r="J78" s="76"/>
      <c r="K78" s="76"/>
      <c r="L78" s="76"/>
      <c r="M78" s="76"/>
      <c r="N78" s="76"/>
      <c r="O78" s="76"/>
      <c r="P78" s="76"/>
      <c r="Q78" s="76"/>
      <c r="R78" s="76"/>
      <c r="S78" s="76"/>
      <c r="T78" s="76"/>
      <c r="U78" s="75"/>
      <c r="V78" s="76"/>
      <c r="W78" s="76"/>
      <c r="X78" s="76"/>
    </row>
    <row r="79" spans="1:40" s="113" customFormat="1">
      <c r="A79" s="76"/>
      <c r="B79" s="76"/>
      <c r="C79" s="76"/>
      <c r="D79" s="76"/>
      <c r="E79" s="76"/>
      <c r="F79" s="76"/>
      <c r="G79" s="76"/>
      <c r="H79" s="76"/>
      <c r="I79" s="76"/>
      <c r="J79" s="76"/>
      <c r="K79" s="76"/>
      <c r="L79" s="76"/>
      <c r="M79" s="76"/>
      <c r="N79" s="76"/>
      <c r="O79" s="76"/>
      <c r="P79" s="76"/>
      <c r="Q79" s="76"/>
      <c r="R79" s="76"/>
      <c r="S79" s="76"/>
      <c r="T79" s="76"/>
      <c r="U79" s="75"/>
      <c r="V79" s="76"/>
      <c r="W79" s="76"/>
      <c r="X79" s="76"/>
    </row>
    <row r="80" spans="1:40" s="113" customFormat="1">
      <c r="A80" s="76"/>
      <c r="B80" s="76"/>
      <c r="C80" s="76"/>
      <c r="D80" s="76"/>
      <c r="E80" s="76"/>
      <c r="F80" s="76"/>
      <c r="G80" s="76"/>
      <c r="H80" s="76"/>
      <c r="I80" s="76"/>
      <c r="J80" s="76"/>
      <c r="K80" s="76"/>
      <c r="L80" s="76"/>
      <c r="M80" s="76"/>
      <c r="N80" s="76"/>
      <c r="O80" s="76"/>
      <c r="P80" s="76"/>
      <c r="Q80" s="76"/>
      <c r="R80" s="76"/>
      <c r="S80" s="76"/>
      <c r="T80" s="76"/>
      <c r="U80" s="75"/>
      <c r="V80" s="76"/>
      <c r="W80" s="76"/>
      <c r="X80" s="76"/>
    </row>
    <row r="81" spans="1:24" s="113" customFormat="1">
      <c r="A81" s="76"/>
      <c r="B81" s="76"/>
      <c r="C81" s="76"/>
      <c r="D81" s="76"/>
      <c r="E81" s="76"/>
      <c r="F81" s="76"/>
      <c r="G81" s="76"/>
      <c r="H81" s="76"/>
      <c r="I81" s="76"/>
      <c r="J81" s="76"/>
      <c r="K81" s="76"/>
      <c r="L81" s="76"/>
      <c r="M81" s="76"/>
      <c r="N81" s="76"/>
      <c r="O81" s="76"/>
      <c r="P81" s="76"/>
      <c r="Q81" s="76"/>
      <c r="R81" s="76"/>
      <c r="S81" s="76"/>
      <c r="T81" s="76"/>
      <c r="U81" s="75"/>
      <c r="V81" s="76"/>
      <c r="W81" s="76"/>
      <c r="X81" s="76"/>
    </row>
    <row r="82" spans="1:24" s="113" customFormat="1">
      <c r="A82" s="76"/>
      <c r="B82" s="76"/>
      <c r="C82" s="76"/>
      <c r="D82" s="76"/>
      <c r="E82" s="76"/>
      <c r="F82" s="76"/>
      <c r="G82" s="76"/>
      <c r="H82" s="76"/>
      <c r="I82" s="76"/>
      <c r="J82" s="76"/>
      <c r="K82" s="76"/>
      <c r="L82" s="76"/>
      <c r="M82" s="76"/>
      <c r="N82" s="76"/>
      <c r="O82" s="76"/>
      <c r="P82" s="76"/>
      <c r="Q82" s="76"/>
      <c r="R82" s="76"/>
      <c r="S82" s="76"/>
      <c r="T82" s="76"/>
      <c r="U82" s="75"/>
      <c r="V82" s="76"/>
      <c r="W82" s="76"/>
      <c r="X82" s="76"/>
    </row>
    <row r="83" spans="1:24" s="113" customFormat="1">
      <c r="A83" s="76"/>
      <c r="B83" s="76"/>
      <c r="C83" s="76"/>
      <c r="D83" s="76"/>
      <c r="E83" s="76"/>
      <c r="F83" s="76"/>
      <c r="G83" s="76"/>
      <c r="H83" s="76"/>
      <c r="I83" s="76"/>
      <c r="J83" s="76"/>
      <c r="K83" s="76"/>
      <c r="L83" s="76"/>
      <c r="M83" s="76"/>
      <c r="N83" s="76"/>
      <c r="O83" s="76"/>
      <c r="P83" s="76"/>
      <c r="Q83" s="76"/>
      <c r="R83" s="76"/>
      <c r="S83" s="76"/>
      <c r="T83" s="76"/>
      <c r="U83" s="75"/>
      <c r="V83" s="76"/>
      <c r="W83" s="76"/>
      <c r="X83" s="76"/>
    </row>
    <row r="84" spans="1:24" s="113" customFormat="1">
      <c r="A84" s="76"/>
      <c r="B84" s="76"/>
      <c r="C84" s="76"/>
      <c r="D84" s="76"/>
      <c r="E84" s="76"/>
      <c r="F84" s="76"/>
      <c r="G84" s="76"/>
      <c r="H84" s="76"/>
      <c r="I84" s="76"/>
      <c r="J84" s="76"/>
      <c r="K84" s="76"/>
      <c r="L84" s="76"/>
      <c r="M84" s="76"/>
      <c r="N84" s="76"/>
      <c r="O84" s="76"/>
      <c r="P84" s="76"/>
      <c r="Q84" s="76"/>
      <c r="R84" s="76"/>
      <c r="S84" s="76"/>
      <c r="T84" s="76"/>
      <c r="U84" s="75"/>
      <c r="V84" s="76"/>
      <c r="W84" s="76"/>
      <c r="X84" s="76"/>
    </row>
    <row r="85" spans="1:24" s="113" customFormat="1">
      <c r="A85" s="76"/>
      <c r="B85" s="76"/>
      <c r="C85" s="76"/>
      <c r="D85" s="76"/>
      <c r="E85" s="76"/>
      <c r="F85" s="76"/>
      <c r="G85" s="76"/>
      <c r="H85" s="76"/>
      <c r="I85" s="76"/>
      <c r="J85" s="76"/>
      <c r="K85" s="76"/>
      <c r="L85" s="76"/>
      <c r="M85" s="76"/>
      <c r="N85" s="76"/>
      <c r="O85" s="76"/>
      <c r="P85" s="76"/>
      <c r="Q85" s="76"/>
      <c r="R85" s="76"/>
      <c r="S85" s="76"/>
      <c r="T85" s="76"/>
      <c r="U85" s="75"/>
      <c r="V85" s="76"/>
      <c r="W85" s="76"/>
      <c r="X85" s="76"/>
    </row>
    <row r="86" spans="1:24" s="113" customFormat="1">
      <c r="A86" s="76"/>
      <c r="B86" s="76"/>
      <c r="C86" s="76"/>
      <c r="D86" s="76"/>
      <c r="E86" s="76"/>
      <c r="F86" s="76"/>
      <c r="G86" s="76"/>
      <c r="H86" s="76"/>
      <c r="I86" s="76"/>
      <c r="J86" s="76"/>
      <c r="K86" s="76"/>
      <c r="L86" s="76"/>
      <c r="M86" s="76"/>
      <c r="N86" s="76"/>
      <c r="O86" s="76"/>
      <c r="P86" s="76"/>
      <c r="Q86" s="76"/>
      <c r="R86" s="76"/>
      <c r="S86" s="76"/>
      <c r="T86" s="76"/>
      <c r="U86" s="75"/>
      <c r="V86" s="76"/>
      <c r="W86" s="76"/>
      <c r="X86" s="76"/>
    </row>
    <row r="87" spans="1:24" s="113" customFormat="1">
      <c r="A87" s="76"/>
      <c r="B87" s="76"/>
      <c r="C87" s="76"/>
      <c r="D87" s="76"/>
      <c r="E87" s="76"/>
      <c r="F87" s="76"/>
      <c r="G87" s="76"/>
      <c r="H87" s="76"/>
      <c r="I87" s="76"/>
      <c r="J87" s="76"/>
      <c r="K87" s="76"/>
      <c r="L87" s="76"/>
      <c r="M87" s="76"/>
      <c r="N87" s="76"/>
      <c r="O87" s="76"/>
      <c r="P87" s="76"/>
      <c r="Q87" s="76"/>
      <c r="R87" s="76"/>
      <c r="S87" s="76"/>
      <c r="T87" s="76"/>
      <c r="U87" s="75"/>
      <c r="V87" s="76"/>
      <c r="W87" s="76"/>
      <c r="X87" s="76"/>
    </row>
    <row r="88" spans="1:24" s="113" customFormat="1">
      <c r="A88" s="76"/>
      <c r="B88" s="76"/>
      <c r="C88" s="76"/>
      <c r="D88" s="76"/>
      <c r="E88" s="76"/>
      <c r="F88" s="76"/>
      <c r="G88" s="76"/>
      <c r="H88" s="76"/>
      <c r="I88" s="76"/>
      <c r="J88" s="76"/>
      <c r="K88" s="76"/>
      <c r="L88" s="76"/>
      <c r="M88" s="76"/>
      <c r="N88" s="76"/>
      <c r="O88" s="76"/>
      <c r="P88" s="76"/>
      <c r="Q88" s="76"/>
      <c r="R88" s="76"/>
      <c r="S88" s="76"/>
      <c r="T88" s="76"/>
      <c r="U88" s="75"/>
      <c r="V88" s="76"/>
      <c r="W88" s="76"/>
      <c r="X88" s="76"/>
    </row>
    <row r="89" spans="1:24" s="113" customFormat="1">
      <c r="A89" s="76"/>
      <c r="B89" s="76"/>
      <c r="C89" s="76"/>
      <c r="D89" s="76"/>
      <c r="E89" s="76"/>
      <c r="F89" s="76"/>
      <c r="G89" s="76"/>
      <c r="H89" s="76"/>
      <c r="I89" s="76"/>
      <c r="J89" s="76"/>
      <c r="K89" s="76"/>
      <c r="L89" s="76"/>
      <c r="M89" s="76"/>
      <c r="N89" s="76"/>
      <c r="O89" s="76"/>
      <c r="P89" s="76"/>
      <c r="Q89" s="76"/>
      <c r="R89" s="76"/>
      <c r="S89" s="76"/>
      <c r="T89" s="76"/>
      <c r="U89" s="75"/>
      <c r="V89" s="76"/>
      <c r="W89" s="76"/>
      <c r="X89" s="76"/>
    </row>
    <row r="90" spans="1:24" s="113" customFormat="1">
      <c r="A90" s="76"/>
      <c r="B90" s="76"/>
      <c r="C90" s="76"/>
      <c r="D90" s="76"/>
      <c r="E90" s="76"/>
      <c r="F90" s="76"/>
      <c r="G90" s="76"/>
      <c r="H90" s="76"/>
      <c r="I90" s="76"/>
      <c r="J90" s="76"/>
      <c r="K90" s="76"/>
      <c r="L90" s="76"/>
      <c r="M90" s="76"/>
      <c r="N90" s="76"/>
      <c r="O90" s="76"/>
      <c r="P90" s="76"/>
      <c r="Q90" s="76"/>
      <c r="R90" s="76"/>
      <c r="S90" s="76"/>
      <c r="T90" s="76"/>
      <c r="U90" s="75"/>
      <c r="V90" s="76"/>
      <c r="W90" s="76"/>
      <c r="X90" s="76"/>
    </row>
    <row r="91" spans="1:24" s="113" customFormat="1">
      <c r="A91" s="76"/>
      <c r="B91" s="76"/>
      <c r="C91" s="76"/>
      <c r="D91" s="76"/>
      <c r="E91" s="76"/>
      <c r="F91" s="76"/>
      <c r="G91" s="76"/>
      <c r="H91" s="76"/>
      <c r="I91" s="76"/>
      <c r="J91" s="76"/>
      <c r="K91" s="76"/>
      <c r="L91" s="76"/>
      <c r="M91" s="76"/>
      <c r="N91" s="76"/>
      <c r="O91" s="76"/>
      <c r="P91" s="76"/>
      <c r="Q91" s="76"/>
      <c r="R91" s="76"/>
      <c r="S91" s="76"/>
      <c r="T91" s="76"/>
      <c r="U91" s="75"/>
      <c r="V91" s="76"/>
      <c r="W91" s="76"/>
      <c r="X91" s="76"/>
    </row>
    <row r="92" spans="1:24" s="113" customFormat="1">
      <c r="A92" s="76"/>
      <c r="B92" s="76"/>
      <c r="C92" s="76"/>
      <c r="D92" s="76"/>
      <c r="E92" s="76"/>
      <c r="F92" s="76"/>
      <c r="G92" s="76"/>
      <c r="H92" s="76"/>
      <c r="I92" s="76"/>
      <c r="J92" s="76"/>
      <c r="K92" s="76"/>
      <c r="L92" s="76"/>
      <c r="M92" s="76"/>
      <c r="N92" s="76"/>
      <c r="O92" s="76"/>
      <c r="P92" s="76"/>
      <c r="Q92" s="76"/>
      <c r="R92" s="76"/>
      <c r="S92" s="76"/>
      <c r="T92" s="76"/>
      <c r="U92" s="75"/>
      <c r="V92" s="76"/>
      <c r="W92" s="76"/>
      <c r="X92" s="76"/>
    </row>
    <row r="93" spans="1:24" s="113" customFormat="1">
      <c r="A93" s="76"/>
      <c r="B93" s="76"/>
      <c r="C93" s="76"/>
      <c r="D93" s="76"/>
      <c r="E93" s="76"/>
      <c r="F93" s="76"/>
      <c r="G93" s="76"/>
      <c r="H93" s="76"/>
      <c r="I93" s="76"/>
      <c r="J93" s="76"/>
      <c r="K93" s="76"/>
      <c r="L93" s="76"/>
      <c r="M93" s="76"/>
      <c r="N93" s="76"/>
      <c r="O93" s="76"/>
      <c r="P93" s="76"/>
      <c r="Q93" s="76"/>
      <c r="R93" s="76"/>
      <c r="S93" s="76"/>
      <c r="T93" s="76"/>
      <c r="U93" s="75"/>
      <c r="V93" s="76"/>
      <c r="W93" s="76"/>
      <c r="X93" s="76"/>
    </row>
    <row r="94" spans="1:24" s="113" customFormat="1">
      <c r="A94" s="76"/>
      <c r="B94" s="76"/>
      <c r="C94" s="76"/>
      <c r="D94" s="76"/>
      <c r="E94" s="76"/>
      <c r="F94" s="76"/>
      <c r="G94" s="76"/>
      <c r="H94" s="76"/>
      <c r="I94" s="76"/>
      <c r="J94" s="76"/>
      <c r="K94" s="76"/>
      <c r="L94" s="76"/>
      <c r="M94" s="76"/>
      <c r="N94" s="76"/>
      <c r="O94" s="76"/>
      <c r="P94" s="76"/>
      <c r="Q94" s="76"/>
      <c r="R94" s="76"/>
      <c r="S94" s="76"/>
      <c r="T94" s="76"/>
      <c r="U94" s="75"/>
      <c r="V94" s="76"/>
      <c r="W94" s="76"/>
      <c r="X94" s="76"/>
    </row>
    <row r="95" spans="1:24" s="113" customFormat="1">
      <c r="A95" s="76"/>
      <c r="B95" s="76"/>
      <c r="C95" s="76"/>
      <c r="D95" s="76"/>
      <c r="E95" s="76"/>
      <c r="F95" s="76"/>
      <c r="G95" s="76"/>
      <c r="H95" s="76"/>
      <c r="I95" s="76"/>
      <c r="J95" s="76"/>
      <c r="K95" s="76"/>
      <c r="L95" s="76"/>
      <c r="M95" s="76"/>
      <c r="N95" s="76"/>
      <c r="O95" s="76"/>
      <c r="P95" s="76"/>
      <c r="Q95" s="76"/>
      <c r="R95" s="76"/>
      <c r="S95" s="76"/>
      <c r="T95" s="76"/>
      <c r="U95" s="75"/>
      <c r="V95" s="76"/>
      <c r="W95" s="76"/>
      <c r="X95" s="76"/>
    </row>
    <row r="96" spans="1:24" s="113" customFormat="1">
      <c r="A96" s="76"/>
      <c r="B96" s="76"/>
      <c r="C96" s="76"/>
      <c r="D96" s="76"/>
      <c r="E96" s="76"/>
      <c r="F96" s="76"/>
      <c r="G96" s="76"/>
      <c r="H96" s="76"/>
      <c r="I96" s="76"/>
      <c r="J96" s="76"/>
      <c r="K96" s="76"/>
      <c r="L96" s="76"/>
      <c r="M96" s="76"/>
      <c r="N96" s="76"/>
      <c r="O96" s="76"/>
      <c r="P96" s="76"/>
      <c r="Q96" s="76"/>
      <c r="R96" s="76"/>
      <c r="S96" s="76"/>
      <c r="T96" s="76"/>
      <c r="U96" s="75"/>
      <c r="V96" s="76"/>
      <c r="W96" s="76"/>
      <c r="X96" s="76"/>
    </row>
    <row r="97" spans="1:24" s="113" customFormat="1">
      <c r="A97" s="76"/>
      <c r="B97" s="76"/>
      <c r="C97" s="76"/>
      <c r="D97" s="76"/>
      <c r="E97" s="76"/>
      <c r="F97" s="76"/>
      <c r="G97" s="76"/>
      <c r="H97" s="76"/>
      <c r="I97" s="76"/>
      <c r="J97" s="76"/>
      <c r="K97" s="76"/>
      <c r="L97" s="76"/>
      <c r="M97" s="76"/>
      <c r="N97" s="76"/>
      <c r="O97" s="76"/>
      <c r="P97" s="76"/>
      <c r="Q97" s="76"/>
      <c r="R97" s="76"/>
      <c r="S97" s="76"/>
      <c r="T97" s="76"/>
      <c r="U97" s="75"/>
      <c r="V97" s="76"/>
      <c r="W97" s="76"/>
      <c r="X97" s="76"/>
    </row>
    <row r="98" spans="1:24" s="113" customFormat="1">
      <c r="A98" s="76"/>
      <c r="B98" s="76"/>
      <c r="C98" s="76"/>
      <c r="D98" s="76"/>
      <c r="E98" s="76"/>
      <c r="F98" s="76"/>
      <c r="G98" s="76"/>
      <c r="H98" s="76"/>
      <c r="I98" s="76"/>
      <c r="J98" s="76"/>
      <c r="K98" s="76"/>
      <c r="L98" s="76"/>
      <c r="M98" s="76"/>
      <c r="N98" s="76"/>
      <c r="O98" s="76"/>
      <c r="P98" s="76"/>
      <c r="Q98" s="76"/>
      <c r="R98" s="76"/>
      <c r="S98" s="76"/>
      <c r="T98" s="76"/>
      <c r="U98" s="75"/>
      <c r="V98" s="76"/>
      <c r="W98" s="76"/>
      <c r="X98" s="76"/>
    </row>
    <row r="99" spans="1:24" s="113" customFormat="1">
      <c r="A99" s="76"/>
      <c r="B99" s="76"/>
      <c r="C99" s="76"/>
      <c r="D99" s="76"/>
      <c r="E99" s="76"/>
      <c r="F99" s="76"/>
      <c r="G99" s="76"/>
      <c r="H99" s="76"/>
      <c r="I99" s="76"/>
      <c r="J99" s="76"/>
      <c r="K99" s="76"/>
      <c r="L99" s="76"/>
      <c r="M99" s="76"/>
      <c r="N99" s="76"/>
      <c r="O99" s="76"/>
      <c r="P99" s="76"/>
      <c r="Q99" s="76"/>
      <c r="R99" s="76"/>
      <c r="S99" s="76"/>
      <c r="T99" s="76"/>
      <c r="U99" s="75"/>
      <c r="V99" s="76"/>
      <c r="W99" s="76"/>
      <c r="X99" s="76"/>
    </row>
    <row r="100" spans="1:24" s="113" customFormat="1">
      <c r="A100" s="75"/>
      <c r="B100" s="75"/>
      <c r="C100" s="75"/>
      <c r="D100" s="75"/>
      <c r="E100" s="119"/>
      <c r="F100" s="81"/>
      <c r="G100" s="81"/>
      <c r="H100" s="81"/>
      <c r="I100" s="81"/>
      <c r="J100" s="81"/>
      <c r="K100" s="75"/>
      <c r="L100" s="75"/>
      <c r="M100" s="75"/>
      <c r="N100" s="76"/>
      <c r="O100" s="76"/>
      <c r="P100" s="76"/>
      <c r="Q100" s="76"/>
      <c r="R100" s="76"/>
      <c r="S100" s="76"/>
      <c r="T100" s="76"/>
      <c r="U100" s="76"/>
      <c r="V100" s="76"/>
      <c r="W100" s="76"/>
      <c r="X100" s="76"/>
    </row>
    <row r="101" spans="1:24" s="113" customFormat="1">
      <c r="A101" s="75"/>
      <c r="B101" s="75"/>
      <c r="C101" s="75"/>
      <c r="D101" s="75"/>
      <c r="E101" s="119"/>
      <c r="F101" s="81"/>
      <c r="G101" s="81"/>
      <c r="H101" s="81"/>
      <c r="I101" s="81"/>
      <c r="J101" s="81"/>
      <c r="K101" s="75"/>
      <c r="L101" s="75"/>
      <c r="M101" s="75"/>
      <c r="N101" s="76"/>
      <c r="O101" s="76"/>
      <c r="P101" s="76"/>
      <c r="Q101" s="76"/>
      <c r="R101" s="76"/>
      <c r="S101" s="76"/>
      <c r="T101" s="76"/>
      <c r="U101" s="76"/>
      <c r="V101" s="76"/>
      <c r="W101" s="76"/>
      <c r="X101" s="76"/>
    </row>
    <row r="102" spans="1:24" s="113" customFormat="1">
      <c r="A102" s="75"/>
      <c r="B102" s="75"/>
      <c r="C102" s="75"/>
      <c r="D102" s="75"/>
      <c r="E102" s="119"/>
      <c r="F102" s="81"/>
      <c r="G102" s="81"/>
      <c r="H102" s="81"/>
      <c r="I102" s="81"/>
      <c r="J102" s="81"/>
      <c r="K102" s="75"/>
      <c r="L102" s="75"/>
      <c r="M102" s="75"/>
      <c r="N102" s="76"/>
      <c r="O102" s="76"/>
      <c r="P102" s="76"/>
      <c r="Q102" s="76"/>
      <c r="R102" s="76"/>
      <c r="S102" s="76"/>
      <c r="T102" s="76"/>
      <c r="U102" s="76"/>
      <c r="V102" s="76"/>
      <c r="W102" s="76"/>
      <c r="X102" s="76"/>
    </row>
    <row r="103" spans="1:24" s="113" customFormat="1">
      <c r="A103" s="75"/>
      <c r="B103" s="75"/>
      <c r="C103" s="75"/>
      <c r="D103" s="75"/>
      <c r="E103" s="119"/>
      <c r="F103" s="81"/>
      <c r="G103" s="81"/>
      <c r="H103" s="81"/>
      <c r="I103" s="81"/>
      <c r="J103" s="81"/>
      <c r="K103" s="79"/>
      <c r="L103" s="75"/>
      <c r="M103" s="75"/>
      <c r="N103" s="76"/>
      <c r="O103" s="76"/>
      <c r="P103" s="76"/>
      <c r="Q103" s="76"/>
      <c r="R103" s="76"/>
      <c r="S103" s="76"/>
      <c r="T103" s="76"/>
      <c r="U103" s="76"/>
      <c r="V103" s="76"/>
      <c r="W103" s="76"/>
      <c r="X103" s="76"/>
    </row>
    <row r="104" spans="1:24" s="113" customFormat="1">
      <c r="A104" s="75"/>
      <c r="B104" s="75"/>
      <c r="C104" s="75"/>
      <c r="D104" s="75"/>
      <c r="E104" s="119"/>
      <c r="F104" s="81"/>
      <c r="G104" s="81"/>
      <c r="H104" s="81"/>
      <c r="I104" s="81"/>
      <c r="J104" s="81"/>
      <c r="K104" s="81"/>
      <c r="L104" s="81"/>
      <c r="M104" s="75"/>
      <c r="N104" s="76"/>
      <c r="O104" s="76"/>
      <c r="P104" s="76"/>
      <c r="Q104" s="76"/>
      <c r="R104" s="76"/>
      <c r="S104" s="76"/>
      <c r="T104" s="76"/>
      <c r="U104" s="76"/>
      <c r="V104" s="76"/>
      <c r="W104" s="76"/>
      <c r="X104" s="76"/>
    </row>
    <row r="105" spans="1:24" s="113" customFormat="1">
      <c r="A105" s="75"/>
      <c r="B105" s="75"/>
      <c r="C105" s="75"/>
      <c r="D105" s="75"/>
      <c r="E105" s="81"/>
      <c r="F105" s="81"/>
      <c r="G105" s="76"/>
      <c r="H105" s="76"/>
      <c r="I105" s="76"/>
      <c r="J105" s="76"/>
      <c r="K105" s="76"/>
      <c r="L105" s="76"/>
      <c r="M105" s="76"/>
      <c r="N105" s="120"/>
      <c r="O105" s="76"/>
      <c r="P105" s="76"/>
      <c r="Q105" s="76"/>
      <c r="R105" s="76"/>
      <c r="S105" s="76"/>
      <c r="T105" s="76"/>
      <c r="U105" s="76"/>
      <c r="V105" s="76"/>
      <c r="W105" s="76"/>
      <c r="X105" s="76"/>
    </row>
    <row r="106" spans="1:24" s="113" customFormat="1"/>
    <row r="107" spans="1:24" s="113" customFormat="1"/>
    <row r="108" spans="1:24" s="113" customFormat="1"/>
    <row r="109" spans="1:24" s="113" customFormat="1"/>
    <row r="110" spans="1:24" s="113" customFormat="1"/>
    <row r="111" spans="1:24" s="113" customFormat="1"/>
    <row r="112" spans="1:24" s="113" customFormat="1"/>
    <row r="113" s="113" customFormat="1"/>
    <row r="114" s="113" customFormat="1"/>
    <row r="115" s="113" customFormat="1"/>
    <row r="116" s="113" customFormat="1"/>
    <row r="117" s="113" customFormat="1"/>
    <row r="118" s="113" customFormat="1"/>
    <row r="119" s="113" customFormat="1"/>
    <row r="120" s="113" customFormat="1"/>
    <row r="121" s="113" customFormat="1"/>
    <row r="122" s="113" customFormat="1"/>
    <row r="123" s="113" customFormat="1"/>
    <row r="124" s="113" customFormat="1"/>
    <row r="125" s="113" customFormat="1"/>
    <row r="126" s="113" customFormat="1"/>
    <row r="127" s="113" customFormat="1"/>
    <row r="128" s="113" customFormat="1"/>
    <row r="129" s="113" customFormat="1"/>
    <row r="130" s="113" customFormat="1"/>
    <row r="131" s="113" customFormat="1"/>
    <row r="132" s="113" customFormat="1"/>
    <row r="133" s="113" customFormat="1"/>
    <row r="134" s="113" customFormat="1"/>
  </sheetData>
  <sheetProtection password="8A5F" sheet="1" scenarios="1" formatCells="0" formatColumns="0" formatRows="0" insertColumns="0" insertRows="0" deleteColumns="0" deleteRows="0" selectLockedCells="1"/>
  <mergeCells count="136">
    <mergeCell ref="AJ5:AM5"/>
    <mergeCell ref="D7:Q7"/>
    <mergeCell ref="U7:AN7"/>
    <mergeCell ref="D11:Q11"/>
    <mergeCell ref="U11:AN11"/>
    <mergeCell ref="D14:Q14"/>
    <mergeCell ref="U14:AN14"/>
    <mergeCell ref="A2:AH4"/>
    <mergeCell ref="E5:F5"/>
    <mergeCell ref="H5:I5"/>
    <mergeCell ref="J5:K5"/>
    <mergeCell ref="Z5:AB5"/>
    <mergeCell ref="AC5:AF5"/>
    <mergeCell ref="AG5:AI5"/>
    <mergeCell ref="D8:Q8"/>
    <mergeCell ref="U8:AN8"/>
    <mergeCell ref="D26:Q26"/>
    <mergeCell ref="U26:AN26"/>
    <mergeCell ref="D30:Q30"/>
    <mergeCell ref="A32:J32"/>
    <mergeCell ref="K32:Q32"/>
    <mergeCell ref="R32:X32"/>
    <mergeCell ref="Y32:AN32"/>
    <mergeCell ref="D17:Q17"/>
    <mergeCell ref="U17:AN17"/>
    <mergeCell ref="D20:Q20"/>
    <mergeCell ref="U20:AN20"/>
    <mergeCell ref="D23:Q23"/>
    <mergeCell ref="U23:AN23"/>
    <mergeCell ref="D29:Q29"/>
    <mergeCell ref="V29:AN29"/>
    <mergeCell ref="A33:H33"/>
    <mergeCell ref="I33:Q33"/>
    <mergeCell ref="R33:X33"/>
    <mergeCell ref="Y33:AN33"/>
    <mergeCell ref="A34:F34"/>
    <mergeCell ref="G34:K34"/>
    <mergeCell ref="L34:M34"/>
    <mergeCell ref="N34:Q34"/>
    <mergeCell ref="R34:X34"/>
    <mergeCell ref="Y34:AG34"/>
    <mergeCell ref="A40:AN40"/>
    <mergeCell ref="A42:K42"/>
    <mergeCell ref="AB42:AN42"/>
    <mergeCell ref="A43:K43"/>
    <mergeCell ref="AH34:AJ34"/>
    <mergeCell ref="AK34:AN34"/>
    <mergeCell ref="A35:F35"/>
    <mergeCell ref="G35:Q35"/>
    <mergeCell ref="R35:X35"/>
    <mergeCell ref="Y35:AN35"/>
    <mergeCell ref="A38:F38"/>
    <mergeCell ref="G38:Q38"/>
    <mergeCell ref="R38:X38"/>
    <mergeCell ref="Y38:AN38"/>
    <mergeCell ref="A36:F36"/>
    <mergeCell ref="G36:Q36"/>
    <mergeCell ref="R36:X36"/>
    <mergeCell ref="Y36:AN36"/>
    <mergeCell ref="A37:G37"/>
    <mergeCell ref="H37:Q37"/>
    <mergeCell ref="R37:Z37"/>
    <mergeCell ref="AA37:AN37"/>
    <mergeCell ref="AB48:AN48"/>
    <mergeCell ref="A48:K48"/>
    <mergeCell ref="AB46:AN46"/>
    <mergeCell ref="AB47:AN47"/>
    <mergeCell ref="L50:W50"/>
    <mergeCell ref="L48:W48"/>
    <mergeCell ref="L49:W49"/>
    <mergeCell ref="AB43:AN43"/>
    <mergeCell ref="AB44:AN44"/>
    <mergeCell ref="AB45:AN45"/>
    <mergeCell ref="A44:K44"/>
    <mergeCell ref="A57:K57"/>
    <mergeCell ref="A58:K58"/>
    <mergeCell ref="A59:K59"/>
    <mergeCell ref="L57:W57"/>
    <mergeCell ref="L58:W58"/>
    <mergeCell ref="L59:W59"/>
    <mergeCell ref="AB49:AN49"/>
    <mergeCell ref="AB50:AN50"/>
    <mergeCell ref="A49:K49"/>
    <mergeCell ref="A50:K50"/>
    <mergeCell ref="A54:K54"/>
    <mergeCell ref="AB51:AN51"/>
    <mergeCell ref="AB52:AN52"/>
    <mergeCell ref="A51:K51"/>
    <mergeCell ref="L56:W56"/>
    <mergeCell ref="L51:W51"/>
    <mergeCell ref="L52:W52"/>
    <mergeCell ref="L53:W53"/>
    <mergeCell ref="L54:W54"/>
    <mergeCell ref="L55:W55"/>
    <mergeCell ref="A60:K60"/>
    <mergeCell ref="X42:AA42"/>
    <mergeCell ref="L42:W42"/>
    <mergeCell ref="L43:W43"/>
    <mergeCell ref="L44:W44"/>
    <mergeCell ref="L45:W45"/>
    <mergeCell ref="L46:W46"/>
    <mergeCell ref="L47:W47"/>
    <mergeCell ref="A45:K45"/>
    <mergeCell ref="A46:K46"/>
    <mergeCell ref="A47:K47"/>
    <mergeCell ref="A52:K52"/>
    <mergeCell ref="X48:AA48"/>
    <mergeCell ref="X49:AA49"/>
    <mergeCell ref="X50:AA50"/>
    <mergeCell ref="L60:W60"/>
    <mergeCell ref="X43:AA43"/>
    <mergeCell ref="X44:AA44"/>
    <mergeCell ref="X45:AA45"/>
    <mergeCell ref="X46:AA46"/>
    <mergeCell ref="X47:AA47"/>
    <mergeCell ref="A55:K55"/>
    <mergeCell ref="A56:K56"/>
    <mergeCell ref="A53:K53"/>
    <mergeCell ref="AB60:AN60"/>
    <mergeCell ref="X57:AA57"/>
    <mergeCell ref="X58:AA58"/>
    <mergeCell ref="X59:AA59"/>
    <mergeCell ref="X60:AA60"/>
    <mergeCell ref="X51:AA51"/>
    <mergeCell ref="X52:AA52"/>
    <mergeCell ref="X53:AA53"/>
    <mergeCell ref="X54:AA54"/>
    <mergeCell ref="X55:AA55"/>
    <mergeCell ref="X56:AA56"/>
    <mergeCell ref="AB55:AN55"/>
    <mergeCell ref="AB56:AN56"/>
    <mergeCell ref="AB53:AN53"/>
    <mergeCell ref="AB54:AN54"/>
    <mergeCell ref="AB59:AN59"/>
    <mergeCell ref="AB57:AN57"/>
    <mergeCell ref="AB58:AN58"/>
  </mergeCells>
  <phoneticPr fontId="40" type="noConversion"/>
  <printOptions horizontalCentered="1"/>
  <pageMargins left="0.6692913385826772" right="0.47244094488188981" top="0.59055118110236227" bottom="0.31496062992125984" header="0.31496062992125984" footer="0.19685039370078741"/>
  <pageSetup paperSize="9" scale="67" orientation="portrait" r:id="rId1"/>
  <headerFooter>
    <oddHeader>&amp;R&amp;G</oddHeader>
    <oddFooter>&amp;LMHG-PU-F-0019&amp;CPPA-Template ; Rev.: 01/2019&amp;RJ.-U. Liedtke / PU-SD-GA</oddFooter>
  </headerFooter>
  <legacyDrawingHF r:id="rId2"/>
  <extLst>
    <ext xmlns:mx="http://schemas.microsoft.com/office/mac/excel/2008/main" uri="{64002731-A6B0-56B0-2670-7721B7C09600}">
      <mx:PLV Mode="0" OnePage="0" WScale="0"/>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0">
    <pageSetUpPr fitToPage="1"/>
  </sheetPr>
  <dimension ref="A1:DA107"/>
  <sheetViews>
    <sheetView showGridLines="0" zoomScale="60" zoomScaleNormal="60" workbookViewId="0">
      <selection activeCell="AM14" sqref="AM14:AZ21"/>
    </sheetView>
  </sheetViews>
  <sheetFormatPr baseColWidth="10" defaultColWidth="9.140625" defaultRowHeight="12.75"/>
  <cols>
    <col min="1" max="105" width="3.42578125" customWidth="1"/>
  </cols>
  <sheetData>
    <row r="1" spans="1:105">
      <c r="A1" s="1932" t="s">
        <v>1390</v>
      </c>
      <c r="B1" s="1932"/>
      <c r="C1" s="1932"/>
      <c r="D1" s="1932"/>
      <c r="E1" s="1932"/>
      <c r="F1" s="1932"/>
      <c r="G1" s="1932"/>
      <c r="H1" s="1932"/>
      <c r="I1" s="1932"/>
      <c r="J1" s="1932"/>
      <c r="K1" s="1932"/>
      <c r="L1" s="1932"/>
      <c r="M1" s="1932"/>
      <c r="N1" s="1932"/>
      <c r="O1" s="1932"/>
      <c r="P1" s="1932"/>
      <c r="Q1" s="1932"/>
      <c r="R1" s="1932"/>
      <c r="S1" s="1932"/>
      <c r="T1" s="1932"/>
      <c r="U1" s="1932"/>
      <c r="V1" s="1932"/>
      <c r="W1" s="1932"/>
      <c r="X1" s="1932"/>
      <c r="Y1" s="1932"/>
      <c r="Z1" s="1932"/>
      <c r="AA1" s="1932"/>
      <c r="AB1" s="1932"/>
      <c r="AC1" s="1932"/>
      <c r="AD1" s="1932"/>
      <c r="AE1" s="1932"/>
      <c r="AF1" s="1932"/>
      <c r="AG1" s="1932"/>
      <c r="AH1" s="1932"/>
      <c r="AI1" s="1932"/>
      <c r="AJ1" s="1932"/>
      <c r="AK1" s="1932"/>
      <c r="AL1" s="1932"/>
      <c r="AM1" s="1932"/>
      <c r="AN1" s="1932"/>
      <c r="AO1" s="1932"/>
      <c r="AP1" s="1932"/>
      <c r="AQ1" s="1932"/>
      <c r="AR1" s="1932"/>
      <c r="AS1" s="1932"/>
      <c r="AT1" s="1932"/>
      <c r="AU1" s="1932"/>
      <c r="AV1" s="1932"/>
      <c r="AW1" s="1932"/>
      <c r="AX1" s="1932"/>
      <c r="AY1" s="1932"/>
      <c r="AZ1" s="1932"/>
    </row>
    <row r="2" spans="1:105">
      <c r="A2" s="1932"/>
      <c r="B2" s="1932"/>
      <c r="C2" s="1932"/>
      <c r="D2" s="1932"/>
      <c r="E2" s="1932"/>
      <c r="F2" s="1932"/>
      <c r="G2" s="1932"/>
      <c r="H2" s="1932"/>
      <c r="I2" s="1932"/>
      <c r="J2" s="1932"/>
      <c r="K2" s="1932"/>
      <c r="L2" s="1932"/>
      <c r="M2" s="1932"/>
      <c r="N2" s="1932"/>
      <c r="O2" s="1932"/>
      <c r="P2" s="1932"/>
      <c r="Q2" s="1932"/>
      <c r="R2" s="1932"/>
      <c r="S2" s="1932"/>
      <c r="T2" s="1932"/>
      <c r="U2" s="1932"/>
      <c r="V2" s="1932"/>
      <c r="W2" s="1932"/>
      <c r="X2" s="1932"/>
      <c r="Y2" s="1932"/>
      <c r="Z2" s="1932"/>
      <c r="AA2" s="1932"/>
      <c r="AB2" s="1932"/>
      <c r="AC2" s="1932"/>
      <c r="AD2" s="1932"/>
      <c r="AE2" s="1932"/>
      <c r="AF2" s="1932"/>
      <c r="AG2" s="1932"/>
      <c r="AH2" s="1932"/>
      <c r="AI2" s="1932"/>
      <c r="AJ2" s="1932"/>
      <c r="AK2" s="1932"/>
      <c r="AL2" s="1932"/>
      <c r="AM2" s="1932"/>
      <c r="AN2" s="1932"/>
      <c r="AO2" s="1932"/>
      <c r="AP2" s="1932"/>
      <c r="AQ2" s="1932"/>
      <c r="AR2" s="1932"/>
      <c r="AS2" s="1932"/>
      <c r="AT2" s="1932"/>
      <c r="AU2" s="1932"/>
      <c r="AV2" s="1932"/>
      <c r="AW2" s="1932"/>
      <c r="AX2" s="1932"/>
      <c r="AY2" s="1932"/>
      <c r="AZ2" s="1932"/>
    </row>
    <row r="3" spans="1:105">
      <c r="A3" s="1932"/>
      <c r="B3" s="1932"/>
      <c r="C3" s="1932"/>
      <c r="D3" s="1932"/>
      <c r="E3" s="1932"/>
      <c r="F3" s="1932"/>
      <c r="G3" s="1932"/>
      <c r="H3" s="1932"/>
      <c r="I3" s="1932"/>
      <c r="J3" s="1932"/>
      <c r="K3" s="1932"/>
      <c r="L3" s="1932"/>
      <c r="M3" s="1932"/>
      <c r="N3" s="1932"/>
      <c r="O3" s="1932"/>
      <c r="P3" s="1932"/>
      <c r="Q3" s="1932"/>
      <c r="R3" s="1932"/>
      <c r="S3" s="1932"/>
      <c r="T3" s="1932"/>
      <c r="U3" s="1932"/>
      <c r="V3" s="1932"/>
      <c r="W3" s="1932"/>
      <c r="X3" s="1932"/>
      <c r="Y3" s="1932"/>
      <c r="Z3" s="1932"/>
      <c r="AA3" s="1932"/>
      <c r="AB3" s="1932"/>
      <c r="AC3" s="1932"/>
      <c r="AD3" s="1932"/>
      <c r="AE3" s="1932"/>
      <c r="AF3" s="1932"/>
      <c r="AG3" s="1932"/>
      <c r="AH3" s="1932"/>
      <c r="AI3" s="1932"/>
      <c r="AJ3" s="1932"/>
      <c r="AK3" s="1932"/>
      <c r="AL3" s="1932"/>
      <c r="AM3" s="1932"/>
      <c r="AN3" s="1932"/>
      <c r="AO3" s="1932"/>
      <c r="AP3" s="1932"/>
      <c r="AQ3" s="1932"/>
      <c r="AR3" s="1932"/>
      <c r="AS3" s="1932"/>
      <c r="AT3" s="1932"/>
      <c r="AU3" s="1932"/>
      <c r="AV3" s="1932"/>
      <c r="AW3" s="1932"/>
      <c r="AX3" s="1932"/>
      <c r="AY3" s="1932"/>
      <c r="AZ3" s="1932"/>
    </row>
    <row r="4" spans="1:105" ht="13.5" thickBot="1"/>
    <row r="5" spans="1:105" ht="12.75" customHeight="1">
      <c r="A5" s="1913" t="s">
        <v>1372</v>
      </c>
      <c r="B5" s="1914"/>
      <c r="C5" s="1914"/>
      <c r="D5" s="1914"/>
      <c r="E5" s="1914"/>
      <c r="F5" s="1914"/>
      <c r="G5" s="1914"/>
      <c r="H5" s="1914"/>
      <c r="I5" s="1914"/>
      <c r="J5" s="1914"/>
      <c r="K5" s="1914"/>
      <c r="L5" s="1914"/>
      <c r="M5" s="1914"/>
      <c r="N5" s="1914"/>
      <c r="O5" s="1914"/>
      <c r="P5" s="1914"/>
      <c r="Q5" s="1914"/>
      <c r="R5" s="1914"/>
      <c r="S5" s="1914"/>
      <c r="T5" s="1914"/>
      <c r="U5" s="1914"/>
      <c r="V5" s="1914"/>
      <c r="W5" s="1914"/>
      <c r="X5" s="1914"/>
      <c r="Y5" s="1914"/>
      <c r="Z5" s="1914"/>
      <c r="AA5" s="1914"/>
      <c r="AB5" s="1914"/>
      <c r="AC5" s="1914"/>
      <c r="AD5" s="1914"/>
      <c r="AE5" s="1914"/>
      <c r="AF5" s="1914"/>
      <c r="AG5" s="1914"/>
      <c r="AH5" s="1914"/>
      <c r="AI5" s="1914"/>
      <c r="AJ5" s="1914"/>
      <c r="AK5" s="1914"/>
      <c r="AL5" s="1915"/>
      <c r="AM5" s="1933" t="s">
        <v>1388</v>
      </c>
      <c r="AN5" s="1934"/>
      <c r="AO5" s="1934"/>
      <c r="AP5" s="1934"/>
      <c r="AQ5" s="1934"/>
      <c r="AR5" s="1934"/>
      <c r="AS5" s="1934"/>
      <c r="AT5" s="1934"/>
      <c r="AU5" s="1934"/>
      <c r="AV5" s="1934"/>
      <c r="AW5" s="1934"/>
      <c r="AX5" s="1934"/>
      <c r="AY5" s="1934"/>
      <c r="AZ5" s="1935"/>
      <c r="BB5" s="1913" t="s">
        <v>1371</v>
      </c>
      <c r="BC5" s="1914"/>
      <c r="BD5" s="1914"/>
      <c r="BE5" s="1914"/>
      <c r="BF5" s="1914"/>
      <c r="BG5" s="1914"/>
      <c r="BH5" s="1914"/>
      <c r="BI5" s="1914"/>
      <c r="BJ5" s="1914"/>
      <c r="BK5" s="1914"/>
      <c r="BL5" s="1914"/>
      <c r="BM5" s="1914"/>
      <c r="BN5" s="1914"/>
      <c r="BO5" s="1914"/>
      <c r="BP5" s="1914"/>
      <c r="BQ5" s="1914"/>
      <c r="BR5" s="1914"/>
      <c r="BS5" s="1914"/>
      <c r="BT5" s="1914"/>
      <c r="BU5" s="1914"/>
      <c r="BV5" s="1914"/>
      <c r="BW5" s="1914"/>
      <c r="BX5" s="1914"/>
      <c r="BY5" s="1914"/>
      <c r="BZ5" s="1914"/>
      <c r="CA5" s="1914"/>
      <c r="CB5" s="1914"/>
      <c r="CC5" s="1914"/>
      <c r="CD5" s="1914"/>
      <c r="CE5" s="1914"/>
      <c r="CF5" s="1914"/>
      <c r="CG5" s="1914"/>
      <c r="CH5" s="1914"/>
      <c r="CI5" s="1914"/>
      <c r="CJ5" s="1914"/>
      <c r="CK5" s="1914"/>
      <c r="CL5" s="1914"/>
      <c r="CM5" s="1914"/>
      <c r="CN5" s="1914"/>
      <c r="CO5" s="1914"/>
      <c r="CP5" s="1914"/>
      <c r="CQ5" s="1914"/>
      <c r="CR5" s="1914"/>
      <c r="CS5" s="1914"/>
      <c r="CT5" s="1914"/>
      <c r="CU5" s="1914"/>
      <c r="CV5" s="1914"/>
      <c r="CW5" s="1914"/>
      <c r="CX5" s="1914"/>
      <c r="CY5" s="1914"/>
      <c r="CZ5" s="1914"/>
      <c r="DA5" s="1915"/>
    </row>
    <row r="6" spans="1:105" ht="12.75" customHeight="1">
      <c r="A6" s="1916"/>
      <c r="B6" s="1917"/>
      <c r="C6" s="1917"/>
      <c r="D6" s="1917"/>
      <c r="E6" s="1917"/>
      <c r="F6" s="1917"/>
      <c r="G6" s="1917"/>
      <c r="H6" s="1917"/>
      <c r="I6" s="1917"/>
      <c r="J6" s="1917"/>
      <c r="K6" s="1917"/>
      <c r="L6" s="1917"/>
      <c r="M6" s="1917"/>
      <c r="N6" s="1917"/>
      <c r="O6" s="1917"/>
      <c r="P6" s="1917"/>
      <c r="Q6" s="1917"/>
      <c r="R6" s="1917"/>
      <c r="S6" s="1917"/>
      <c r="T6" s="1917"/>
      <c r="U6" s="1917"/>
      <c r="V6" s="1917"/>
      <c r="W6" s="1917"/>
      <c r="X6" s="1917"/>
      <c r="Y6" s="1917"/>
      <c r="Z6" s="1917"/>
      <c r="AA6" s="1917"/>
      <c r="AB6" s="1917"/>
      <c r="AC6" s="1917"/>
      <c r="AD6" s="1917"/>
      <c r="AE6" s="1917"/>
      <c r="AF6" s="1917"/>
      <c r="AG6" s="1917"/>
      <c r="AH6" s="1917"/>
      <c r="AI6" s="1917"/>
      <c r="AJ6" s="1917"/>
      <c r="AK6" s="1917"/>
      <c r="AL6" s="1918"/>
      <c r="AM6" s="1936"/>
      <c r="AN6" s="1937"/>
      <c r="AO6" s="1937"/>
      <c r="AP6" s="1937"/>
      <c r="AQ6" s="1937"/>
      <c r="AR6" s="1937"/>
      <c r="AS6" s="1937"/>
      <c r="AT6" s="1937"/>
      <c r="AU6" s="1937"/>
      <c r="AV6" s="1937"/>
      <c r="AW6" s="1937"/>
      <c r="AX6" s="1937"/>
      <c r="AY6" s="1937"/>
      <c r="AZ6" s="1938"/>
      <c r="BB6" s="1916"/>
      <c r="BC6" s="1917"/>
      <c r="BD6" s="1917"/>
      <c r="BE6" s="1917"/>
      <c r="BF6" s="1917"/>
      <c r="BG6" s="1917"/>
      <c r="BH6" s="1917"/>
      <c r="BI6" s="1917"/>
      <c r="BJ6" s="1917"/>
      <c r="BK6" s="1917"/>
      <c r="BL6" s="1917"/>
      <c r="BM6" s="1917"/>
      <c r="BN6" s="1917"/>
      <c r="BO6" s="1917"/>
      <c r="BP6" s="1917"/>
      <c r="BQ6" s="1917"/>
      <c r="BR6" s="1917"/>
      <c r="BS6" s="1917"/>
      <c r="BT6" s="1917"/>
      <c r="BU6" s="1917"/>
      <c r="BV6" s="1917"/>
      <c r="BW6" s="1917"/>
      <c r="BX6" s="1917"/>
      <c r="BY6" s="1917"/>
      <c r="BZ6" s="1917"/>
      <c r="CA6" s="1917"/>
      <c r="CB6" s="1917"/>
      <c r="CC6" s="1917"/>
      <c r="CD6" s="1917"/>
      <c r="CE6" s="1917"/>
      <c r="CF6" s="1917"/>
      <c r="CG6" s="1917"/>
      <c r="CH6" s="1917"/>
      <c r="CI6" s="1917"/>
      <c r="CJ6" s="1917"/>
      <c r="CK6" s="1917"/>
      <c r="CL6" s="1917"/>
      <c r="CM6" s="1917"/>
      <c r="CN6" s="1917"/>
      <c r="CO6" s="1917"/>
      <c r="CP6" s="1917"/>
      <c r="CQ6" s="1917"/>
      <c r="CR6" s="1917"/>
      <c r="CS6" s="1917"/>
      <c r="CT6" s="1917"/>
      <c r="CU6" s="1917"/>
      <c r="CV6" s="1917"/>
      <c r="CW6" s="1917"/>
      <c r="CX6" s="1917"/>
      <c r="CY6" s="1917"/>
      <c r="CZ6" s="1917"/>
      <c r="DA6" s="1918"/>
    </row>
    <row r="7" spans="1:105" ht="12.75" customHeight="1">
      <c r="A7" s="1916"/>
      <c r="B7" s="1917"/>
      <c r="C7" s="1917"/>
      <c r="D7" s="1917"/>
      <c r="E7" s="1917"/>
      <c r="F7" s="1917"/>
      <c r="G7" s="1917"/>
      <c r="H7" s="1917"/>
      <c r="I7" s="1917"/>
      <c r="J7" s="1917"/>
      <c r="K7" s="1917"/>
      <c r="L7" s="1917"/>
      <c r="M7" s="1917"/>
      <c r="N7" s="1917"/>
      <c r="O7" s="1917"/>
      <c r="P7" s="1917"/>
      <c r="Q7" s="1917"/>
      <c r="R7" s="1917"/>
      <c r="S7" s="1917"/>
      <c r="T7" s="1917"/>
      <c r="U7" s="1917"/>
      <c r="V7" s="1917"/>
      <c r="W7" s="1917"/>
      <c r="X7" s="1917"/>
      <c r="Y7" s="1917"/>
      <c r="Z7" s="1917"/>
      <c r="AA7" s="1917"/>
      <c r="AB7" s="1917"/>
      <c r="AC7" s="1917"/>
      <c r="AD7" s="1917"/>
      <c r="AE7" s="1917"/>
      <c r="AF7" s="1917"/>
      <c r="AG7" s="1917"/>
      <c r="AH7" s="1917"/>
      <c r="AI7" s="1917"/>
      <c r="AJ7" s="1917"/>
      <c r="AK7" s="1917"/>
      <c r="AL7" s="1918"/>
      <c r="AM7" s="1936"/>
      <c r="AN7" s="1937"/>
      <c r="AO7" s="1937"/>
      <c r="AP7" s="1937"/>
      <c r="AQ7" s="1937"/>
      <c r="AR7" s="1937"/>
      <c r="AS7" s="1937"/>
      <c r="AT7" s="1937"/>
      <c r="AU7" s="1937"/>
      <c r="AV7" s="1937"/>
      <c r="AW7" s="1937"/>
      <c r="AX7" s="1937"/>
      <c r="AY7" s="1937"/>
      <c r="AZ7" s="1938"/>
      <c r="BB7" s="1916"/>
      <c r="BC7" s="1917"/>
      <c r="BD7" s="1917"/>
      <c r="BE7" s="1917"/>
      <c r="BF7" s="1917"/>
      <c r="BG7" s="1917"/>
      <c r="BH7" s="1917"/>
      <c r="BI7" s="1917"/>
      <c r="BJ7" s="1917"/>
      <c r="BK7" s="1917"/>
      <c r="BL7" s="1917"/>
      <c r="BM7" s="1917"/>
      <c r="BN7" s="1917"/>
      <c r="BO7" s="1917"/>
      <c r="BP7" s="1917"/>
      <c r="BQ7" s="1917"/>
      <c r="BR7" s="1917"/>
      <c r="BS7" s="1917"/>
      <c r="BT7" s="1917"/>
      <c r="BU7" s="1917"/>
      <c r="BV7" s="1917"/>
      <c r="BW7" s="1917"/>
      <c r="BX7" s="1917"/>
      <c r="BY7" s="1917"/>
      <c r="BZ7" s="1917"/>
      <c r="CA7" s="1917"/>
      <c r="CB7" s="1917"/>
      <c r="CC7" s="1917"/>
      <c r="CD7" s="1917"/>
      <c r="CE7" s="1917"/>
      <c r="CF7" s="1917"/>
      <c r="CG7" s="1917"/>
      <c r="CH7" s="1917"/>
      <c r="CI7" s="1917"/>
      <c r="CJ7" s="1917"/>
      <c r="CK7" s="1917"/>
      <c r="CL7" s="1917"/>
      <c r="CM7" s="1917"/>
      <c r="CN7" s="1917"/>
      <c r="CO7" s="1917"/>
      <c r="CP7" s="1917"/>
      <c r="CQ7" s="1917"/>
      <c r="CR7" s="1917"/>
      <c r="CS7" s="1917"/>
      <c r="CT7" s="1917"/>
      <c r="CU7" s="1917"/>
      <c r="CV7" s="1917"/>
      <c r="CW7" s="1917"/>
      <c r="CX7" s="1917"/>
      <c r="CY7" s="1917"/>
      <c r="CZ7" s="1917"/>
      <c r="DA7" s="1918"/>
    </row>
    <row r="8" spans="1:105" ht="16.5" customHeight="1" thickBot="1">
      <c r="A8" s="1919"/>
      <c r="B8" s="1920"/>
      <c r="C8" s="1920"/>
      <c r="D8" s="1920"/>
      <c r="E8" s="1920"/>
      <c r="F8" s="1920"/>
      <c r="G8" s="1920"/>
      <c r="H8" s="1920"/>
      <c r="I8" s="1920"/>
      <c r="J8" s="1920"/>
      <c r="K8" s="1920"/>
      <c r="L8" s="1920"/>
      <c r="M8" s="1920"/>
      <c r="N8" s="1920"/>
      <c r="O8" s="1920"/>
      <c r="P8" s="1920"/>
      <c r="Q8" s="1920"/>
      <c r="R8" s="1920"/>
      <c r="S8" s="1920"/>
      <c r="T8" s="1920"/>
      <c r="U8" s="1920"/>
      <c r="V8" s="1920"/>
      <c r="W8" s="1920"/>
      <c r="X8" s="1920"/>
      <c r="Y8" s="1920"/>
      <c r="Z8" s="1920"/>
      <c r="AA8" s="1920"/>
      <c r="AB8" s="1920"/>
      <c r="AC8" s="1920"/>
      <c r="AD8" s="1920"/>
      <c r="AE8" s="1920"/>
      <c r="AF8" s="1920"/>
      <c r="AG8" s="1920"/>
      <c r="AH8" s="1920"/>
      <c r="AI8" s="1920"/>
      <c r="AJ8" s="1920"/>
      <c r="AK8" s="1920"/>
      <c r="AL8" s="1921"/>
      <c r="AM8" s="1939"/>
      <c r="AN8" s="1940"/>
      <c r="AO8" s="1940"/>
      <c r="AP8" s="1940"/>
      <c r="AQ8" s="1940"/>
      <c r="AR8" s="1940"/>
      <c r="AS8" s="1940"/>
      <c r="AT8" s="1940"/>
      <c r="AU8" s="1940"/>
      <c r="AV8" s="1940"/>
      <c r="AW8" s="1940"/>
      <c r="AX8" s="1940"/>
      <c r="AY8" s="1940"/>
      <c r="AZ8" s="1941"/>
      <c r="BB8" s="1919"/>
      <c r="BC8" s="1920"/>
      <c r="BD8" s="1920"/>
      <c r="BE8" s="1920"/>
      <c r="BF8" s="1920"/>
      <c r="BG8" s="1920"/>
      <c r="BH8" s="1920"/>
      <c r="BI8" s="1920"/>
      <c r="BJ8" s="1920"/>
      <c r="BK8" s="1920"/>
      <c r="BL8" s="1920"/>
      <c r="BM8" s="1920"/>
      <c r="BN8" s="1920"/>
      <c r="BO8" s="1920"/>
      <c r="BP8" s="1920"/>
      <c r="BQ8" s="1920"/>
      <c r="BR8" s="1920"/>
      <c r="BS8" s="1920"/>
      <c r="BT8" s="1920"/>
      <c r="BU8" s="1920"/>
      <c r="BV8" s="1920"/>
      <c r="BW8" s="1920"/>
      <c r="BX8" s="1920"/>
      <c r="BY8" s="1920"/>
      <c r="BZ8" s="1920"/>
      <c r="CA8" s="1920"/>
      <c r="CB8" s="1920"/>
      <c r="CC8" s="1920"/>
      <c r="CD8" s="1920"/>
      <c r="CE8" s="1920"/>
      <c r="CF8" s="1920"/>
      <c r="CG8" s="1920"/>
      <c r="CH8" s="1920"/>
      <c r="CI8" s="1920"/>
      <c r="CJ8" s="1920"/>
      <c r="CK8" s="1920"/>
      <c r="CL8" s="1920"/>
      <c r="CM8" s="1920"/>
      <c r="CN8" s="1920"/>
      <c r="CO8" s="1920"/>
      <c r="CP8" s="1920"/>
      <c r="CQ8" s="1920"/>
      <c r="CR8" s="1920"/>
      <c r="CS8" s="1920"/>
      <c r="CT8" s="1920"/>
      <c r="CU8" s="1920"/>
      <c r="CV8" s="1920"/>
      <c r="CW8" s="1920"/>
      <c r="CX8" s="1920"/>
      <c r="CY8" s="1920"/>
      <c r="CZ8" s="1920"/>
      <c r="DA8" s="1921"/>
    </row>
    <row r="10" spans="1:105" ht="13.5" thickBot="1"/>
    <row r="11" spans="1:105" ht="15" customHeight="1">
      <c r="A11" s="1942"/>
      <c r="B11" s="1943"/>
      <c r="C11" s="1944"/>
      <c r="D11" s="1868" t="s">
        <v>1271</v>
      </c>
      <c r="E11" s="1887"/>
      <c r="F11" s="1887"/>
      <c r="G11" s="1887"/>
      <c r="H11" s="1887"/>
      <c r="I11" s="1887"/>
      <c r="J11" s="1887"/>
      <c r="K11" s="1887"/>
      <c r="L11" s="1887"/>
      <c r="M11" s="1887"/>
      <c r="N11" s="1887"/>
      <c r="O11" s="1887"/>
      <c r="P11" s="1887"/>
      <c r="Q11" s="1887"/>
      <c r="R11" s="1887"/>
      <c r="S11" s="1887"/>
      <c r="T11" s="1887"/>
      <c r="U11" s="1887"/>
      <c r="V11" s="1887"/>
      <c r="W11" s="1887"/>
      <c r="X11" s="1887"/>
      <c r="Y11" s="1887"/>
      <c r="Z11" s="1887"/>
      <c r="AA11" s="1887"/>
      <c r="AB11" s="1887"/>
      <c r="AC11" s="1887"/>
      <c r="AD11" s="1887"/>
      <c r="AE11" s="1887"/>
      <c r="AF11" s="1887"/>
      <c r="AG11" s="1887"/>
      <c r="AH11" s="1887"/>
      <c r="AI11" s="1887"/>
      <c r="AJ11" s="1887"/>
      <c r="AK11" s="1887"/>
      <c r="AL11" s="1888"/>
      <c r="AM11" s="1877" t="s">
        <v>172</v>
      </c>
      <c r="AN11" s="1878"/>
      <c r="AO11" s="1878"/>
      <c r="AP11" s="1878"/>
      <c r="AQ11" s="1878"/>
      <c r="AR11" s="1878"/>
      <c r="AS11" s="1878"/>
      <c r="AT11" s="1878"/>
      <c r="AU11" s="1878"/>
      <c r="AV11" s="1878"/>
      <c r="AW11" s="1878"/>
      <c r="AX11" s="1878"/>
      <c r="AY11" s="1878"/>
      <c r="AZ11" s="1879"/>
      <c r="BB11" s="1877" t="s">
        <v>218</v>
      </c>
      <c r="BC11" s="1878"/>
      <c r="BD11" s="1879"/>
      <c r="BE11" s="1886" t="s">
        <v>1272</v>
      </c>
      <c r="BF11" s="1887"/>
      <c r="BG11" s="1887"/>
      <c r="BH11" s="1887"/>
      <c r="BI11" s="1887"/>
      <c r="BJ11" s="1887"/>
      <c r="BK11" s="1887"/>
      <c r="BL11" s="1887"/>
      <c r="BM11" s="1887"/>
      <c r="BN11" s="1887"/>
      <c r="BO11" s="1887"/>
      <c r="BP11" s="1887"/>
      <c r="BQ11" s="1887"/>
      <c r="BR11" s="1887"/>
      <c r="BS11" s="1887"/>
      <c r="BT11" s="1887"/>
      <c r="BU11" s="1887"/>
      <c r="BV11" s="1887"/>
      <c r="BW11" s="1887"/>
      <c r="BX11" s="1887"/>
      <c r="BY11" s="1887"/>
      <c r="BZ11" s="1887"/>
      <c r="CA11" s="1887"/>
      <c r="CB11" s="1887"/>
      <c r="CC11" s="1887"/>
      <c r="CD11" s="1887"/>
      <c r="CE11" s="1887"/>
      <c r="CF11" s="1887"/>
      <c r="CG11" s="1887"/>
      <c r="CH11" s="1887"/>
      <c r="CI11" s="1887"/>
      <c r="CJ11" s="1887"/>
      <c r="CK11" s="1887"/>
      <c r="CL11" s="1887"/>
      <c r="CM11" s="1887"/>
      <c r="CN11" s="1887"/>
      <c r="CO11" s="1887"/>
      <c r="CP11" s="1887"/>
      <c r="CQ11" s="1887"/>
      <c r="CR11" s="1887"/>
      <c r="CS11" s="1887"/>
      <c r="CT11" s="1887"/>
      <c r="CU11" s="1887"/>
      <c r="CV11" s="1887"/>
      <c r="CW11" s="1887"/>
      <c r="CX11" s="1887"/>
      <c r="CY11" s="1887"/>
      <c r="CZ11" s="1887"/>
      <c r="DA11" s="1888"/>
    </row>
    <row r="12" spans="1:105" ht="15" customHeight="1">
      <c r="A12" s="1724"/>
      <c r="B12" s="1722"/>
      <c r="C12" s="1723"/>
      <c r="D12" s="1889"/>
      <c r="E12" s="1890"/>
      <c r="F12" s="1890"/>
      <c r="G12" s="1890"/>
      <c r="H12" s="1890"/>
      <c r="I12" s="1890"/>
      <c r="J12" s="1890"/>
      <c r="K12" s="1890"/>
      <c r="L12" s="1890"/>
      <c r="M12" s="1890"/>
      <c r="N12" s="1890"/>
      <c r="O12" s="1890"/>
      <c r="P12" s="1890"/>
      <c r="Q12" s="1890"/>
      <c r="R12" s="1890"/>
      <c r="S12" s="1890"/>
      <c r="T12" s="1890"/>
      <c r="U12" s="1890"/>
      <c r="V12" s="1890"/>
      <c r="W12" s="1890"/>
      <c r="X12" s="1890"/>
      <c r="Y12" s="1890"/>
      <c r="Z12" s="1890"/>
      <c r="AA12" s="1890"/>
      <c r="AB12" s="1890"/>
      <c r="AC12" s="1890"/>
      <c r="AD12" s="1890"/>
      <c r="AE12" s="1890"/>
      <c r="AF12" s="1890"/>
      <c r="AG12" s="1890"/>
      <c r="AH12" s="1890"/>
      <c r="AI12" s="1890"/>
      <c r="AJ12" s="1890"/>
      <c r="AK12" s="1890"/>
      <c r="AL12" s="1891"/>
      <c r="AM12" s="1880"/>
      <c r="AN12" s="1881"/>
      <c r="AO12" s="1881"/>
      <c r="AP12" s="1881"/>
      <c r="AQ12" s="1881"/>
      <c r="AR12" s="1881"/>
      <c r="AS12" s="1881"/>
      <c r="AT12" s="1881"/>
      <c r="AU12" s="1881"/>
      <c r="AV12" s="1881"/>
      <c r="AW12" s="1881"/>
      <c r="AX12" s="1881"/>
      <c r="AY12" s="1881"/>
      <c r="AZ12" s="1882"/>
      <c r="BB12" s="1880"/>
      <c r="BC12" s="1881"/>
      <c r="BD12" s="1882"/>
      <c r="BE12" s="1889"/>
      <c r="BF12" s="1890"/>
      <c r="BG12" s="1890"/>
      <c r="BH12" s="1890"/>
      <c r="BI12" s="1890"/>
      <c r="BJ12" s="1890"/>
      <c r="BK12" s="1890"/>
      <c r="BL12" s="1890"/>
      <c r="BM12" s="1890"/>
      <c r="BN12" s="1890"/>
      <c r="BO12" s="1890"/>
      <c r="BP12" s="1890"/>
      <c r="BQ12" s="1890"/>
      <c r="BR12" s="1890"/>
      <c r="BS12" s="1890"/>
      <c r="BT12" s="1890"/>
      <c r="BU12" s="1890"/>
      <c r="BV12" s="1890"/>
      <c r="BW12" s="1890"/>
      <c r="BX12" s="1890"/>
      <c r="BY12" s="1890"/>
      <c r="BZ12" s="1890"/>
      <c r="CA12" s="1890"/>
      <c r="CB12" s="1890"/>
      <c r="CC12" s="1890"/>
      <c r="CD12" s="1890"/>
      <c r="CE12" s="1890"/>
      <c r="CF12" s="1890"/>
      <c r="CG12" s="1890"/>
      <c r="CH12" s="1890"/>
      <c r="CI12" s="1890"/>
      <c r="CJ12" s="1890"/>
      <c r="CK12" s="1890"/>
      <c r="CL12" s="1890"/>
      <c r="CM12" s="1890"/>
      <c r="CN12" s="1890"/>
      <c r="CO12" s="1890"/>
      <c r="CP12" s="1890"/>
      <c r="CQ12" s="1890"/>
      <c r="CR12" s="1890"/>
      <c r="CS12" s="1890"/>
      <c r="CT12" s="1890"/>
      <c r="CU12" s="1890"/>
      <c r="CV12" s="1890"/>
      <c r="CW12" s="1890"/>
      <c r="CX12" s="1890"/>
      <c r="CY12" s="1890"/>
      <c r="CZ12" s="1890"/>
      <c r="DA12" s="1891"/>
    </row>
    <row r="13" spans="1:105" ht="15" customHeight="1" thickBot="1">
      <c r="A13" s="1945"/>
      <c r="B13" s="1946"/>
      <c r="C13" s="1947"/>
      <c r="D13" s="1892"/>
      <c r="E13" s="1893"/>
      <c r="F13" s="1893"/>
      <c r="G13" s="1893"/>
      <c r="H13" s="1893"/>
      <c r="I13" s="1893"/>
      <c r="J13" s="1893"/>
      <c r="K13" s="1893"/>
      <c r="L13" s="1893"/>
      <c r="M13" s="1893"/>
      <c r="N13" s="1893"/>
      <c r="O13" s="1893"/>
      <c r="P13" s="1893"/>
      <c r="Q13" s="1893"/>
      <c r="R13" s="1893"/>
      <c r="S13" s="1893"/>
      <c r="T13" s="1893"/>
      <c r="U13" s="1893"/>
      <c r="V13" s="1893"/>
      <c r="W13" s="1893"/>
      <c r="X13" s="1893"/>
      <c r="Y13" s="1893"/>
      <c r="Z13" s="1893"/>
      <c r="AA13" s="1893"/>
      <c r="AB13" s="1893"/>
      <c r="AC13" s="1893"/>
      <c r="AD13" s="1893"/>
      <c r="AE13" s="1893"/>
      <c r="AF13" s="1893"/>
      <c r="AG13" s="1893"/>
      <c r="AH13" s="1893"/>
      <c r="AI13" s="1893"/>
      <c r="AJ13" s="1893"/>
      <c r="AK13" s="1893"/>
      <c r="AL13" s="1894"/>
      <c r="AM13" s="1883"/>
      <c r="AN13" s="1884"/>
      <c r="AO13" s="1884"/>
      <c r="AP13" s="1884"/>
      <c r="AQ13" s="1884"/>
      <c r="AR13" s="1884"/>
      <c r="AS13" s="1884"/>
      <c r="AT13" s="1884"/>
      <c r="AU13" s="1884"/>
      <c r="AV13" s="1884"/>
      <c r="AW13" s="1884"/>
      <c r="AX13" s="1884"/>
      <c r="AY13" s="1884"/>
      <c r="AZ13" s="1885"/>
      <c r="BB13" s="1883"/>
      <c r="BC13" s="1884"/>
      <c r="BD13" s="1885"/>
      <c r="BE13" s="1892"/>
      <c r="BF13" s="1893"/>
      <c r="BG13" s="1893"/>
      <c r="BH13" s="1893"/>
      <c r="BI13" s="1893"/>
      <c r="BJ13" s="1893"/>
      <c r="BK13" s="1893"/>
      <c r="BL13" s="1893"/>
      <c r="BM13" s="1893"/>
      <c r="BN13" s="1893"/>
      <c r="BO13" s="1893"/>
      <c r="BP13" s="1893"/>
      <c r="BQ13" s="1893"/>
      <c r="BR13" s="1893"/>
      <c r="BS13" s="1893"/>
      <c r="BT13" s="1893"/>
      <c r="BU13" s="1893"/>
      <c r="BV13" s="1893"/>
      <c r="BW13" s="1893"/>
      <c r="BX13" s="1893"/>
      <c r="BY13" s="1893"/>
      <c r="BZ13" s="1893"/>
      <c r="CA13" s="1893"/>
      <c r="CB13" s="1893"/>
      <c r="CC13" s="1893"/>
      <c r="CD13" s="1893"/>
      <c r="CE13" s="1893"/>
      <c r="CF13" s="1893"/>
      <c r="CG13" s="1893"/>
      <c r="CH13" s="1893"/>
      <c r="CI13" s="1893"/>
      <c r="CJ13" s="1893"/>
      <c r="CK13" s="1893"/>
      <c r="CL13" s="1893"/>
      <c r="CM13" s="1893"/>
      <c r="CN13" s="1893"/>
      <c r="CO13" s="1893"/>
      <c r="CP13" s="1893"/>
      <c r="CQ13" s="1893"/>
      <c r="CR13" s="1893"/>
      <c r="CS13" s="1893"/>
      <c r="CT13" s="1893"/>
      <c r="CU13" s="1893"/>
      <c r="CV13" s="1893"/>
      <c r="CW13" s="1893"/>
      <c r="CX13" s="1893"/>
      <c r="CY13" s="1893"/>
      <c r="CZ13" s="1893"/>
      <c r="DA13" s="1894"/>
    </row>
    <row r="14" spans="1:105" ht="22.5" customHeight="1">
      <c r="A14" s="1859">
        <v>1</v>
      </c>
      <c r="B14" s="1860"/>
      <c r="C14" s="1861"/>
      <c r="D14" s="1868" t="s">
        <v>1273</v>
      </c>
      <c r="E14" s="1887"/>
      <c r="F14" s="1887"/>
      <c r="G14" s="1887"/>
      <c r="H14" s="1887"/>
      <c r="I14" s="1887"/>
      <c r="J14" s="1887"/>
      <c r="K14" s="1887"/>
      <c r="L14" s="1887"/>
      <c r="M14" s="1887"/>
      <c r="N14" s="1887"/>
      <c r="O14" s="1887"/>
      <c r="P14" s="1887"/>
      <c r="Q14" s="1887"/>
      <c r="R14" s="1887"/>
      <c r="S14" s="1887"/>
      <c r="T14" s="1887"/>
      <c r="U14" s="1887"/>
      <c r="V14" s="1887"/>
      <c r="W14" s="1887"/>
      <c r="X14" s="1887"/>
      <c r="Y14" s="1887"/>
      <c r="Z14" s="1887"/>
      <c r="AA14" s="1887"/>
      <c r="AB14" s="1887"/>
      <c r="AC14" s="1887"/>
      <c r="AD14" s="1887"/>
      <c r="AE14" s="1887"/>
      <c r="AF14" s="1887"/>
      <c r="AG14" s="1887"/>
      <c r="AH14" s="1887"/>
      <c r="AI14" s="1887"/>
      <c r="AJ14" s="1887"/>
      <c r="AK14" s="1887"/>
      <c r="AL14" s="1888"/>
      <c r="AM14" s="1859" t="s">
        <v>173</v>
      </c>
      <c r="AN14" s="1860"/>
      <c r="AO14" s="1860"/>
      <c r="AP14" s="1860"/>
      <c r="AQ14" s="1860"/>
      <c r="AR14" s="1860"/>
      <c r="AS14" s="1860"/>
      <c r="AT14" s="1860"/>
      <c r="AU14" s="1860"/>
      <c r="AV14" s="1860"/>
      <c r="AW14" s="1860"/>
      <c r="AX14" s="1860"/>
      <c r="AY14" s="1860"/>
      <c r="AZ14" s="1861"/>
      <c r="BB14" s="1877" t="s">
        <v>200</v>
      </c>
      <c r="BC14" s="1878"/>
      <c r="BD14" s="1879"/>
      <c r="BE14" s="1886" t="s">
        <v>1349</v>
      </c>
      <c r="BF14" s="1887"/>
      <c r="BG14" s="1887"/>
      <c r="BH14" s="1887"/>
      <c r="BI14" s="1887"/>
      <c r="BJ14" s="1887"/>
      <c r="BK14" s="1887"/>
      <c r="BL14" s="1887"/>
      <c r="BM14" s="1887"/>
      <c r="BN14" s="1887"/>
      <c r="BO14" s="1887"/>
      <c r="BP14" s="1887"/>
      <c r="BQ14" s="1887"/>
      <c r="BR14" s="1887"/>
      <c r="BS14" s="1887"/>
      <c r="BT14" s="1887"/>
      <c r="BU14" s="1887"/>
      <c r="BV14" s="1887"/>
      <c r="BW14" s="1887"/>
      <c r="BX14" s="1887"/>
      <c r="BY14" s="1887"/>
      <c r="BZ14" s="1887"/>
      <c r="CA14" s="1887"/>
      <c r="CB14" s="1887"/>
      <c r="CC14" s="1887"/>
      <c r="CD14" s="1887"/>
      <c r="CE14" s="1887"/>
      <c r="CF14" s="1887"/>
      <c r="CG14" s="1887"/>
      <c r="CH14" s="1887"/>
      <c r="CI14" s="1887"/>
      <c r="CJ14" s="1887"/>
      <c r="CK14" s="1887"/>
      <c r="CL14" s="1887"/>
      <c r="CM14" s="1887"/>
      <c r="CN14" s="1887"/>
      <c r="CO14" s="1887"/>
      <c r="CP14" s="1887"/>
      <c r="CQ14" s="1887"/>
      <c r="CR14" s="1887"/>
      <c r="CS14" s="1887"/>
      <c r="CT14" s="1887"/>
      <c r="CU14" s="1887"/>
      <c r="CV14" s="1887"/>
      <c r="CW14" s="1887"/>
      <c r="CX14" s="1887"/>
      <c r="CY14" s="1887"/>
      <c r="CZ14" s="1887"/>
      <c r="DA14" s="1888"/>
    </row>
    <row r="15" spans="1:105" ht="22.5" customHeight="1">
      <c r="A15" s="1862"/>
      <c r="B15" s="1863"/>
      <c r="C15" s="1864"/>
      <c r="D15" s="1889"/>
      <c r="E15" s="1931"/>
      <c r="F15" s="1931"/>
      <c r="G15" s="1931"/>
      <c r="H15" s="1931"/>
      <c r="I15" s="1931"/>
      <c r="J15" s="1931"/>
      <c r="K15" s="1931"/>
      <c r="L15" s="1931"/>
      <c r="M15" s="1931"/>
      <c r="N15" s="1931"/>
      <c r="O15" s="1931"/>
      <c r="P15" s="1931"/>
      <c r="Q15" s="1931"/>
      <c r="R15" s="1931"/>
      <c r="S15" s="1931"/>
      <c r="T15" s="1931"/>
      <c r="U15" s="1931"/>
      <c r="V15" s="1931"/>
      <c r="W15" s="1931"/>
      <c r="X15" s="1931"/>
      <c r="Y15" s="1931"/>
      <c r="Z15" s="1931"/>
      <c r="AA15" s="1931"/>
      <c r="AB15" s="1931"/>
      <c r="AC15" s="1931"/>
      <c r="AD15" s="1931"/>
      <c r="AE15" s="1931"/>
      <c r="AF15" s="1931"/>
      <c r="AG15" s="1931"/>
      <c r="AH15" s="1931"/>
      <c r="AI15" s="1931"/>
      <c r="AJ15" s="1931"/>
      <c r="AK15" s="1931"/>
      <c r="AL15" s="1891"/>
      <c r="AM15" s="1862"/>
      <c r="AN15" s="1863"/>
      <c r="AO15" s="1863"/>
      <c r="AP15" s="1863"/>
      <c r="AQ15" s="1863"/>
      <c r="AR15" s="1863"/>
      <c r="AS15" s="1863"/>
      <c r="AT15" s="1863"/>
      <c r="AU15" s="1863"/>
      <c r="AV15" s="1863"/>
      <c r="AW15" s="1863"/>
      <c r="AX15" s="1863"/>
      <c r="AY15" s="1863"/>
      <c r="AZ15" s="1864"/>
      <c r="BB15" s="1880"/>
      <c r="BC15" s="1881"/>
      <c r="BD15" s="1882"/>
      <c r="BE15" s="1889"/>
      <c r="BF15" s="1890"/>
      <c r="BG15" s="1890"/>
      <c r="BH15" s="1890"/>
      <c r="BI15" s="1890"/>
      <c r="BJ15" s="1890"/>
      <c r="BK15" s="1890"/>
      <c r="BL15" s="1890"/>
      <c r="BM15" s="1890"/>
      <c r="BN15" s="1890"/>
      <c r="BO15" s="1890"/>
      <c r="BP15" s="1890"/>
      <c r="BQ15" s="1890"/>
      <c r="BR15" s="1890"/>
      <c r="BS15" s="1890"/>
      <c r="BT15" s="1890"/>
      <c r="BU15" s="1890"/>
      <c r="BV15" s="1890"/>
      <c r="BW15" s="1890"/>
      <c r="BX15" s="1890"/>
      <c r="BY15" s="1890"/>
      <c r="BZ15" s="1890"/>
      <c r="CA15" s="1890"/>
      <c r="CB15" s="1890"/>
      <c r="CC15" s="1890"/>
      <c r="CD15" s="1890"/>
      <c r="CE15" s="1890"/>
      <c r="CF15" s="1890"/>
      <c r="CG15" s="1890"/>
      <c r="CH15" s="1890"/>
      <c r="CI15" s="1890"/>
      <c r="CJ15" s="1890"/>
      <c r="CK15" s="1890"/>
      <c r="CL15" s="1890"/>
      <c r="CM15" s="1890"/>
      <c r="CN15" s="1890"/>
      <c r="CO15" s="1890"/>
      <c r="CP15" s="1890"/>
      <c r="CQ15" s="1890"/>
      <c r="CR15" s="1890"/>
      <c r="CS15" s="1890"/>
      <c r="CT15" s="1890"/>
      <c r="CU15" s="1890"/>
      <c r="CV15" s="1890"/>
      <c r="CW15" s="1890"/>
      <c r="CX15" s="1890"/>
      <c r="CY15" s="1890"/>
      <c r="CZ15" s="1890"/>
      <c r="DA15" s="1891"/>
    </row>
    <row r="16" spans="1:105" ht="22.5" customHeight="1" thickBot="1">
      <c r="A16" s="1862"/>
      <c r="B16" s="1863"/>
      <c r="C16" s="1864"/>
      <c r="D16" s="1889"/>
      <c r="E16" s="1931"/>
      <c r="F16" s="1931"/>
      <c r="G16" s="1931"/>
      <c r="H16" s="1931"/>
      <c r="I16" s="1931"/>
      <c r="J16" s="1931"/>
      <c r="K16" s="1931"/>
      <c r="L16" s="1931"/>
      <c r="M16" s="1931"/>
      <c r="N16" s="1931"/>
      <c r="O16" s="1931"/>
      <c r="P16" s="1931"/>
      <c r="Q16" s="1931"/>
      <c r="R16" s="1931"/>
      <c r="S16" s="1931"/>
      <c r="T16" s="1931"/>
      <c r="U16" s="1931"/>
      <c r="V16" s="1931"/>
      <c r="W16" s="1931"/>
      <c r="X16" s="1931"/>
      <c r="Y16" s="1931"/>
      <c r="Z16" s="1931"/>
      <c r="AA16" s="1931"/>
      <c r="AB16" s="1931"/>
      <c r="AC16" s="1931"/>
      <c r="AD16" s="1931"/>
      <c r="AE16" s="1931"/>
      <c r="AF16" s="1931"/>
      <c r="AG16" s="1931"/>
      <c r="AH16" s="1931"/>
      <c r="AI16" s="1931"/>
      <c r="AJ16" s="1931"/>
      <c r="AK16" s="1931"/>
      <c r="AL16" s="1891"/>
      <c r="AM16" s="1862"/>
      <c r="AN16" s="1863"/>
      <c r="AO16" s="1863"/>
      <c r="AP16" s="1863"/>
      <c r="AQ16" s="1863"/>
      <c r="AR16" s="1863"/>
      <c r="AS16" s="1863"/>
      <c r="AT16" s="1863"/>
      <c r="AU16" s="1863"/>
      <c r="AV16" s="1863"/>
      <c r="AW16" s="1863"/>
      <c r="AX16" s="1863"/>
      <c r="AY16" s="1863"/>
      <c r="AZ16" s="1864"/>
      <c r="BB16" s="1883"/>
      <c r="BC16" s="1884"/>
      <c r="BD16" s="1885"/>
      <c r="BE16" s="1892"/>
      <c r="BF16" s="1893"/>
      <c r="BG16" s="1893"/>
      <c r="BH16" s="1893"/>
      <c r="BI16" s="1893"/>
      <c r="BJ16" s="1893"/>
      <c r="BK16" s="1893"/>
      <c r="BL16" s="1893"/>
      <c r="BM16" s="1893"/>
      <c r="BN16" s="1893"/>
      <c r="BO16" s="1893"/>
      <c r="BP16" s="1893"/>
      <c r="BQ16" s="1893"/>
      <c r="BR16" s="1893"/>
      <c r="BS16" s="1893"/>
      <c r="BT16" s="1893"/>
      <c r="BU16" s="1893"/>
      <c r="BV16" s="1893"/>
      <c r="BW16" s="1893"/>
      <c r="BX16" s="1893"/>
      <c r="BY16" s="1893"/>
      <c r="BZ16" s="1893"/>
      <c r="CA16" s="1893"/>
      <c r="CB16" s="1893"/>
      <c r="CC16" s="1893"/>
      <c r="CD16" s="1893"/>
      <c r="CE16" s="1893"/>
      <c r="CF16" s="1893"/>
      <c r="CG16" s="1893"/>
      <c r="CH16" s="1893"/>
      <c r="CI16" s="1893"/>
      <c r="CJ16" s="1893"/>
      <c r="CK16" s="1893"/>
      <c r="CL16" s="1893"/>
      <c r="CM16" s="1893"/>
      <c r="CN16" s="1893"/>
      <c r="CO16" s="1893"/>
      <c r="CP16" s="1893"/>
      <c r="CQ16" s="1893"/>
      <c r="CR16" s="1893"/>
      <c r="CS16" s="1893"/>
      <c r="CT16" s="1893"/>
      <c r="CU16" s="1893"/>
      <c r="CV16" s="1893"/>
      <c r="CW16" s="1893"/>
      <c r="CX16" s="1893"/>
      <c r="CY16" s="1893"/>
      <c r="CZ16" s="1893"/>
      <c r="DA16" s="1894"/>
    </row>
    <row r="17" spans="1:105" ht="22.5" customHeight="1">
      <c r="A17" s="1862"/>
      <c r="B17" s="1863"/>
      <c r="C17" s="1864"/>
      <c r="D17" s="1889"/>
      <c r="E17" s="1931"/>
      <c r="F17" s="1931"/>
      <c r="G17" s="1931"/>
      <c r="H17" s="1931"/>
      <c r="I17" s="1931"/>
      <c r="J17" s="1931"/>
      <c r="K17" s="1931"/>
      <c r="L17" s="1931"/>
      <c r="M17" s="1931"/>
      <c r="N17" s="1931"/>
      <c r="O17" s="1931"/>
      <c r="P17" s="1931"/>
      <c r="Q17" s="1931"/>
      <c r="R17" s="1931"/>
      <c r="S17" s="1931"/>
      <c r="T17" s="1931"/>
      <c r="U17" s="1931"/>
      <c r="V17" s="1931"/>
      <c r="W17" s="1931"/>
      <c r="X17" s="1931"/>
      <c r="Y17" s="1931"/>
      <c r="Z17" s="1931"/>
      <c r="AA17" s="1931"/>
      <c r="AB17" s="1931"/>
      <c r="AC17" s="1931"/>
      <c r="AD17" s="1931"/>
      <c r="AE17" s="1931"/>
      <c r="AF17" s="1931"/>
      <c r="AG17" s="1931"/>
      <c r="AH17" s="1931"/>
      <c r="AI17" s="1931"/>
      <c r="AJ17" s="1931"/>
      <c r="AK17" s="1931"/>
      <c r="AL17" s="1891"/>
      <c r="AM17" s="1862"/>
      <c r="AN17" s="1863"/>
      <c r="AO17" s="1863"/>
      <c r="AP17" s="1863"/>
      <c r="AQ17" s="1863"/>
      <c r="AR17" s="1863"/>
      <c r="AS17" s="1863"/>
      <c r="AT17" s="1863"/>
      <c r="AU17" s="1863"/>
      <c r="AV17" s="1863"/>
      <c r="AW17" s="1863"/>
      <c r="AX17" s="1863"/>
      <c r="AY17" s="1863"/>
      <c r="AZ17" s="1864"/>
      <c r="BB17" s="1877" t="s">
        <v>219</v>
      </c>
      <c r="BC17" s="1878"/>
      <c r="BD17" s="1879"/>
      <c r="BE17" s="1886" t="s">
        <v>1350</v>
      </c>
      <c r="BF17" s="1887"/>
      <c r="BG17" s="1887"/>
      <c r="BH17" s="1887"/>
      <c r="BI17" s="1887"/>
      <c r="BJ17" s="1887"/>
      <c r="BK17" s="1887"/>
      <c r="BL17" s="1887"/>
      <c r="BM17" s="1887"/>
      <c r="BN17" s="1887"/>
      <c r="BO17" s="1887"/>
      <c r="BP17" s="1887"/>
      <c r="BQ17" s="1887"/>
      <c r="BR17" s="1887"/>
      <c r="BS17" s="1887"/>
      <c r="BT17" s="1887"/>
      <c r="BU17" s="1887"/>
      <c r="BV17" s="1887"/>
      <c r="BW17" s="1887"/>
      <c r="BX17" s="1887"/>
      <c r="BY17" s="1887"/>
      <c r="BZ17" s="1887"/>
      <c r="CA17" s="1887"/>
      <c r="CB17" s="1887"/>
      <c r="CC17" s="1887"/>
      <c r="CD17" s="1887"/>
      <c r="CE17" s="1887"/>
      <c r="CF17" s="1887"/>
      <c r="CG17" s="1887"/>
      <c r="CH17" s="1887"/>
      <c r="CI17" s="1887"/>
      <c r="CJ17" s="1887"/>
      <c r="CK17" s="1887"/>
      <c r="CL17" s="1887"/>
      <c r="CM17" s="1887"/>
      <c r="CN17" s="1887"/>
      <c r="CO17" s="1887"/>
      <c r="CP17" s="1887"/>
      <c r="CQ17" s="1887"/>
      <c r="CR17" s="1887"/>
      <c r="CS17" s="1887"/>
      <c r="CT17" s="1887"/>
      <c r="CU17" s="1887"/>
      <c r="CV17" s="1887"/>
      <c r="CW17" s="1887"/>
      <c r="CX17" s="1887"/>
      <c r="CY17" s="1887"/>
      <c r="CZ17" s="1887"/>
      <c r="DA17" s="1888"/>
    </row>
    <row r="18" spans="1:105" ht="22.5" customHeight="1">
      <c r="A18" s="1862"/>
      <c r="B18" s="1863"/>
      <c r="C18" s="1864"/>
      <c r="D18" s="1889"/>
      <c r="E18" s="1931"/>
      <c r="F18" s="1931"/>
      <c r="G18" s="1931"/>
      <c r="H18" s="1931"/>
      <c r="I18" s="1931"/>
      <c r="J18" s="1931"/>
      <c r="K18" s="1931"/>
      <c r="L18" s="1931"/>
      <c r="M18" s="1931"/>
      <c r="N18" s="1931"/>
      <c r="O18" s="1931"/>
      <c r="P18" s="1931"/>
      <c r="Q18" s="1931"/>
      <c r="R18" s="1931"/>
      <c r="S18" s="1931"/>
      <c r="T18" s="1931"/>
      <c r="U18" s="1931"/>
      <c r="V18" s="1931"/>
      <c r="W18" s="1931"/>
      <c r="X18" s="1931"/>
      <c r="Y18" s="1931"/>
      <c r="Z18" s="1931"/>
      <c r="AA18" s="1931"/>
      <c r="AB18" s="1931"/>
      <c r="AC18" s="1931"/>
      <c r="AD18" s="1931"/>
      <c r="AE18" s="1931"/>
      <c r="AF18" s="1931"/>
      <c r="AG18" s="1931"/>
      <c r="AH18" s="1931"/>
      <c r="AI18" s="1931"/>
      <c r="AJ18" s="1931"/>
      <c r="AK18" s="1931"/>
      <c r="AL18" s="1891"/>
      <c r="AM18" s="1862"/>
      <c r="AN18" s="1863"/>
      <c r="AO18" s="1863"/>
      <c r="AP18" s="1863"/>
      <c r="AQ18" s="1863"/>
      <c r="AR18" s="1863"/>
      <c r="AS18" s="1863"/>
      <c r="AT18" s="1863"/>
      <c r="AU18" s="1863"/>
      <c r="AV18" s="1863"/>
      <c r="AW18" s="1863"/>
      <c r="AX18" s="1863"/>
      <c r="AY18" s="1863"/>
      <c r="AZ18" s="1864"/>
      <c r="BB18" s="1880"/>
      <c r="BC18" s="1881"/>
      <c r="BD18" s="1882"/>
      <c r="BE18" s="1889"/>
      <c r="BF18" s="1890"/>
      <c r="BG18" s="1890"/>
      <c r="BH18" s="1890"/>
      <c r="BI18" s="1890"/>
      <c r="BJ18" s="1890"/>
      <c r="BK18" s="1890"/>
      <c r="BL18" s="1890"/>
      <c r="BM18" s="1890"/>
      <c r="BN18" s="1890"/>
      <c r="BO18" s="1890"/>
      <c r="BP18" s="1890"/>
      <c r="BQ18" s="1890"/>
      <c r="BR18" s="1890"/>
      <c r="BS18" s="1890"/>
      <c r="BT18" s="1890"/>
      <c r="BU18" s="1890"/>
      <c r="BV18" s="1890"/>
      <c r="BW18" s="1890"/>
      <c r="BX18" s="1890"/>
      <c r="BY18" s="1890"/>
      <c r="BZ18" s="1890"/>
      <c r="CA18" s="1890"/>
      <c r="CB18" s="1890"/>
      <c r="CC18" s="1890"/>
      <c r="CD18" s="1890"/>
      <c r="CE18" s="1890"/>
      <c r="CF18" s="1890"/>
      <c r="CG18" s="1890"/>
      <c r="CH18" s="1890"/>
      <c r="CI18" s="1890"/>
      <c r="CJ18" s="1890"/>
      <c r="CK18" s="1890"/>
      <c r="CL18" s="1890"/>
      <c r="CM18" s="1890"/>
      <c r="CN18" s="1890"/>
      <c r="CO18" s="1890"/>
      <c r="CP18" s="1890"/>
      <c r="CQ18" s="1890"/>
      <c r="CR18" s="1890"/>
      <c r="CS18" s="1890"/>
      <c r="CT18" s="1890"/>
      <c r="CU18" s="1890"/>
      <c r="CV18" s="1890"/>
      <c r="CW18" s="1890"/>
      <c r="CX18" s="1890"/>
      <c r="CY18" s="1890"/>
      <c r="CZ18" s="1890"/>
      <c r="DA18" s="1891"/>
    </row>
    <row r="19" spans="1:105" ht="22.5" customHeight="1" thickBot="1">
      <c r="A19" s="1862"/>
      <c r="B19" s="1863"/>
      <c r="C19" s="1864"/>
      <c r="D19" s="1889"/>
      <c r="E19" s="1931"/>
      <c r="F19" s="1931"/>
      <c r="G19" s="1931"/>
      <c r="H19" s="1931"/>
      <c r="I19" s="1931"/>
      <c r="J19" s="1931"/>
      <c r="K19" s="1931"/>
      <c r="L19" s="1931"/>
      <c r="M19" s="1931"/>
      <c r="N19" s="1931"/>
      <c r="O19" s="1931"/>
      <c r="P19" s="1931"/>
      <c r="Q19" s="1931"/>
      <c r="R19" s="1931"/>
      <c r="S19" s="1931"/>
      <c r="T19" s="1931"/>
      <c r="U19" s="1931"/>
      <c r="V19" s="1931"/>
      <c r="W19" s="1931"/>
      <c r="X19" s="1931"/>
      <c r="Y19" s="1931"/>
      <c r="Z19" s="1931"/>
      <c r="AA19" s="1931"/>
      <c r="AB19" s="1931"/>
      <c r="AC19" s="1931"/>
      <c r="AD19" s="1931"/>
      <c r="AE19" s="1931"/>
      <c r="AF19" s="1931"/>
      <c r="AG19" s="1931"/>
      <c r="AH19" s="1931"/>
      <c r="AI19" s="1931"/>
      <c r="AJ19" s="1931"/>
      <c r="AK19" s="1931"/>
      <c r="AL19" s="1891"/>
      <c r="AM19" s="1862"/>
      <c r="AN19" s="1863"/>
      <c r="AO19" s="1863"/>
      <c r="AP19" s="1863"/>
      <c r="AQ19" s="1863"/>
      <c r="AR19" s="1863"/>
      <c r="AS19" s="1863"/>
      <c r="AT19" s="1863"/>
      <c r="AU19" s="1863"/>
      <c r="AV19" s="1863"/>
      <c r="AW19" s="1863"/>
      <c r="AX19" s="1863"/>
      <c r="AY19" s="1863"/>
      <c r="AZ19" s="1864"/>
      <c r="BB19" s="1883"/>
      <c r="BC19" s="1884"/>
      <c r="BD19" s="1885"/>
      <c r="BE19" s="1892"/>
      <c r="BF19" s="1893"/>
      <c r="BG19" s="1893"/>
      <c r="BH19" s="1893"/>
      <c r="BI19" s="1893"/>
      <c r="BJ19" s="1893"/>
      <c r="BK19" s="1893"/>
      <c r="BL19" s="1893"/>
      <c r="BM19" s="1893"/>
      <c r="BN19" s="1893"/>
      <c r="BO19" s="1893"/>
      <c r="BP19" s="1893"/>
      <c r="BQ19" s="1893"/>
      <c r="BR19" s="1893"/>
      <c r="BS19" s="1893"/>
      <c r="BT19" s="1893"/>
      <c r="BU19" s="1893"/>
      <c r="BV19" s="1893"/>
      <c r="BW19" s="1893"/>
      <c r="BX19" s="1893"/>
      <c r="BY19" s="1893"/>
      <c r="BZ19" s="1893"/>
      <c r="CA19" s="1893"/>
      <c r="CB19" s="1893"/>
      <c r="CC19" s="1893"/>
      <c r="CD19" s="1893"/>
      <c r="CE19" s="1893"/>
      <c r="CF19" s="1893"/>
      <c r="CG19" s="1893"/>
      <c r="CH19" s="1893"/>
      <c r="CI19" s="1893"/>
      <c r="CJ19" s="1893"/>
      <c r="CK19" s="1893"/>
      <c r="CL19" s="1893"/>
      <c r="CM19" s="1893"/>
      <c r="CN19" s="1893"/>
      <c r="CO19" s="1893"/>
      <c r="CP19" s="1893"/>
      <c r="CQ19" s="1893"/>
      <c r="CR19" s="1893"/>
      <c r="CS19" s="1893"/>
      <c r="CT19" s="1893"/>
      <c r="CU19" s="1893"/>
      <c r="CV19" s="1893"/>
      <c r="CW19" s="1893"/>
      <c r="CX19" s="1893"/>
      <c r="CY19" s="1893"/>
      <c r="CZ19" s="1893"/>
      <c r="DA19" s="1894"/>
    </row>
    <row r="20" spans="1:105" ht="22.5" customHeight="1">
      <c r="A20" s="1862"/>
      <c r="B20" s="1863"/>
      <c r="C20" s="1864"/>
      <c r="D20" s="1889"/>
      <c r="E20" s="1931"/>
      <c r="F20" s="1931"/>
      <c r="G20" s="1931"/>
      <c r="H20" s="1931"/>
      <c r="I20" s="1931"/>
      <c r="J20" s="1931"/>
      <c r="K20" s="1931"/>
      <c r="L20" s="1931"/>
      <c r="M20" s="1931"/>
      <c r="N20" s="1931"/>
      <c r="O20" s="1931"/>
      <c r="P20" s="1931"/>
      <c r="Q20" s="1931"/>
      <c r="R20" s="1931"/>
      <c r="S20" s="1931"/>
      <c r="T20" s="1931"/>
      <c r="U20" s="1931"/>
      <c r="V20" s="1931"/>
      <c r="W20" s="1931"/>
      <c r="X20" s="1931"/>
      <c r="Y20" s="1931"/>
      <c r="Z20" s="1931"/>
      <c r="AA20" s="1931"/>
      <c r="AB20" s="1931"/>
      <c r="AC20" s="1931"/>
      <c r="AD20" s="1931"/>
      <c r="AE20" s="1931"/>
      <c r="AF20" s="1931"/>
      <c r="AG20" s="1931"/>
      <c r="AH20" s="1931"/>
      <c r="AI20" s="1931"/>
      <c r="AJ20" s="1931"/>
      <c r="AK20" s="1931"/>
      <c r="AL20" s="1891"/>
      <c r="AM20" s="1862"/>
      <c r="AN20" s="1863"/>
      <c r="AO20" s="1863"/>
      <c r="AP20" s="1863"/>
      <c r="AQ20" s="1863"/>
      <c r="AR20" s="1863"/>
      <c r="AS20" s="1863"/>
      <c r="AT20" s="1863"/>
      <c r="AU20" s="1863"/>
      <c r="AV20" s="1863"/>
      <c r="AW20" s="1863"/>
      <c r="AX20" s="1863"/>
      <c r="AY20" s="1863"/>
      <c r="AZ20" s="1864"/>
      <c r="BB20" s="1877" t="s">
        <v>177</v>
      </c>
      <c r="BC20" s="1878"/>
      <c r="BD20" s="1879"/>
      <c r="BE20" s="1886" t="s">
        <v>1351</v>
      </c>
      <c r="BF20" s="1887"/>
      <c r="BG20" s="1887"/>
      <c r="BH20" s="1887"/>
      <c r="BI20" s="1887"/>
      <c r="BJ20" s="1887"/>
      <c r="BK20" s="1887"/>
      <c r="BL20" s="1887"/>
      <c r="BM20" s="1887"/>
      <c r="BN20" s="1887"/>
      <c r="BO20" s="1887"/>
      <c r="BP20" s="1887"/>
      <c r="BQ20" s="1887"/>
      <c r="BR20" s="1887"/>
      <c r="BS20" s="1887"/>
      <c r="BT20" s="1887"/>
      <c r="BU20" s="1887"/>
      <c r="BV20" s="1887"/>
      <c r="BW20" s="1887"/>
      <c r="BX20" s="1887"/>
      <c r="BY20" s="1887"/>
      <c r="BZ20" s="1887"/>
      <c r="CA20" s="1887"/>
      <c r="CB20" s="1887"/>
      <c r="CC20" s="1887"/>
      <c r="CD20" s="1887"/>
      <c r="CE20" s="1887"/>
      <c r="CF20" s="1887"/>
      <c r="CG20" s="1887"/>
      <c r="CH20" s="1887"/>
      <c r="CI20" s="1887"/>
      <c r="CJ20" s="1887"/>
      <c r="CK20" s="1887"/>
      <c r="CL20" s="1887"/>
      <c r="CM20" s="1887"/>
      <c r="CN20" s="1887"/>
      <c r="CO20" s="1887"/>
      <c r="CP20" s="1887"/>
      <c r="CQ20" s="1887"/>
      <c r="CR20" s="1887"/>
      <c r="CS20" s="1887"/>
      <c r="CT20" s="1887"/>
      <c r="CU20" s="1887"/>
      <c r="CV20" s="1887"/>
      <c r="CW20" s="1887"/>
      <c r="CX20" s="1887"/>
      <c r="CY20" s="1887"/>
      <c r="CZ20" s="1887"/>
      <c r="DA20" s="1888"/>
    </row>
    <row r="21" spans="1:105" ht="9.75" customHeight="1" thickBot="1">
      <c r="A21" s="1865"/>
      <c r="B21" s="1866"/>
      <c r="C21" s="1867"/>
      <c r="D21" s="1892"/>
      <c r="E21" s="1893"/>
      <c r="F21" s="1893"/>
      <c r="G21" s="1893"/>
      <c r="H21" s="1893"/>
      <c r="I21" s="1893"/>
      <c r="J21" s="1893"/>
      <c r="K21" s="1893"/>
      <c r="L21" s="1893"/>
      <c r="M21" s="1893"/>
      <c r="N21" s="1893"/>
      <c r="O21" s="1893"/>
      <c r="P21" s="1893"/>
      <c r="Q21" s="1893"/>
      <c r="R21" s="1893"/>
      <c r="S21" s="1893"/>
      <c r="T21" s="1893"/>
      <c r="U21" s="1893"/>
      <c r="V21" s="1893"/>
      <c r="W21" s="1893"/>
      <c r="X21" s="1893"/>
      <c r="Y21" s="1893"/>
      <c r="Z21" s="1893"/>
      <c r="AA21" s="1893"/>
      <c r="AB21" s="1893"/>
      <c r="AC21" s="1893"/>
      <c r="AD21" s="1893"/>
      <c r="AE21" s="1893"/>
      <c r="AF21" s="1893"/>
      <c r="AG21" s="1893"/>
      <c r="AH21" s="1893"/>
      <c r="AI21" s="1893"/>
      <c r="AJ21" s="1893"/>
      <c r="AK21" s="1893"/>
      <c r="AL21" s="1894"/>
      <c r="AM21" s="1865"/>
      <c r="AN21" s="1866"/>
      <c r="AO21" s="1866"/>
      <c r="AP21" s="1866"/>
      <c r="AQ21" s="1866"/>
      <c r="AR21" s="1866"/>
      <c r="AS21" s="1866"/>
      <c r="AT21" s="1866"/>
      <c r="AU21" s="1866"/>
      <c r="AV21" s="1866"/>
      <c r="AW21" s="1866"/>
      <c r="AX21" s="1866"/>
      <c r="AY21" s="1866"/>
      <c r="AZ21" s="1867"/>
      <c r="BB21" s="1880"/>
      <c r="BC21" s="1881"/>
      <c r="BD21" s="1882"/>
      <c r="BE21" s="1889"/>
      <c r="BF21" s="1890"/>
      <c r="BG21" s="1890"/>
      <c r="BH21" s="1890"/>
      <c r="BI21" s="1890"/>
      <c r="BJ21" s="1890"/>
      <c r="BK21" s="1890"/>
      <c r="BL21" s="1890"/>
      <c r="BM21" s="1890"/>
      <c r="BN21" s="1890"/>
      <c r="BO21" s="1890"/>
      <c r="BP21" s="1890"/>
      <c r="BQ21" s="1890"/>
      <c r="BR21" s="1890"/>
      <c r="BS21" s="1890"/>
      <c r="BT21" s="1890"/>
      <c r="BU21" s="1890"/>
      <c r="BV21" s="1890"/>
      <c r="BW21" s="1890"/>
      <c r="BX21" s="1890"/>
      <c r="BY21" s="1890"/>
      <c r="BZ21" s="1890"/>
      <c r="CA21" s="1890"/>
      <c r="CB21" s="1890"/>
      <c r="CC21" s="1890"/>
      <c r="CD21" s="1890"/>
      <c r="CE21" s="1890"/>
      <c r="CF21" s="1890"/>
      <c r="CG21" s="1890"/>
      <c r="CH21" s="1890"/>
      <c r="CI21" s="1890"/>
      <c r="CJ21" s="1890"/>
      <c r="CK21" s="1890"/>
      <c r="CL21" s="1890"/>
      <c r="CM21" s="1890"/>
      <c r="CN21" s="1890"/>
      <c r="CO21" s="1890"/>
      <c r="CP21" s="1890"/>
      <c r="CQ21" s="1890"/>
      <c r="CR21" s="1890"/>
      <c r="CS21" s="1890"/>
      <c r="CT21" s="1890"/>
      <c r="CU21" s="1890"/>
      <c r="CV21" s="1890"/>
      <c r="CW21" s="1890"/>
      <c r="CX21" s="1890"/>
      <c r="CY21" s="1890"/>
      <c r="CZ21" s="1890"/>
      <c r="DA21" s="1891"/>
    </row>
    <row r="22" spans="1:105" ht="13.5" thickBot="1">
      <c r="A22" s="1859">
        <v>2</v>
      </c>
      <c r="B22" s="1860"/>
      <c r="C22" s="1861"/>
      <c r="D22" s="1868" t="s">
        <v>1274</v>
      </c>
      <c r="E22" s="1869"/>
      <c r="F22" s="1869"/>
      <c r="G22" s="1869"/>
      <c r="H22" s="1869"/>
      <c r="I22" s="1869"/>
      <c r="J22" s="1869"/>
      <c r="K22" s="1869"/>
      <c r="L22" s="1869"/>
      <c r="M22" s="1869"/>
      <c r="N22" s="1869"/>
      <c r="O22" s="1869"/>
      <c r="P22" s="1869"/>
      <c r="Q22" s="1869"/>
      <c r="R22" s="1869"/>
      <c r="S22" s="1869"/>
      <c r="T22" s="1869"/>
      <c r="U22" s="1869"/>
      <c r="V22" s="1869"/>
      <c r="W22" s="1869"/>
      <c r="X22" s="1869"/>
      <c r="Y22" s="1869"/>
      <c r="Z22" s="1869"/>
      <c r="AA22" s="1869"/>
      <c r="AB22" s="1869"/>
      <c r="AC22" s="1869"/>
      <c r="AD22" s="1869"/>
      <c r="AE22" s="1869"/>
      <c r="AF22" s="1869"/>
      <c r="AG22" s="1869"/>
      <c r="AH22" s="1869"/>
      <c r="AI22" s="1869"/>
      <c r="AJ22" s="1869"/>
      <c r="AK22" s="1869"/>
      <c r="AL22" s="1870"/>
      <c r="AM22" s="1877" t="s">
        <v>175</v>
      </c>
      <c r="AN22" s="1878"/>
      <c r="AO22" s="1878"/>
      <c r="AP22" s="1878"/>
      <c r="AQ22" s="1878"/>
      <c r="AR22" s="1878"/>
      <c r="AS22" s="1878"/>
      <c r="AT22" s="1878"/>
      <c r="AU22" s="1878"/>
      <c r="AV22" s="1878"/>
      <c r="AW22" s="1878"/>
      <c r="AX22" s="1878"/>
      <c r="AY22" s="1878"/>
      <c r="AZ22" s="1879"/>
      <c r="BB22" s="1883"/>
      <c r="BC22" s="1884"/>
      <c r="BD22" s="1885"/>
      <c r="BE22" s="1892"/>
      <c r="BF22" s="1893"/>
      <c r="BG22" s="1893"/>
      <c r="BH22" s="1893"/>
      <c r="BI22" s="1893"/>
      <c r="BJ22" s="1893"/>
      <c r="BK22" s="1893"/>
      <c r="BL22" s="1893"/>
      <c r="BM22" s="1893"/>
      <c r="BN22" s="1893"/>
      <c r="BO22" s="1893"/>
      <c r="BP22" s="1893"/>
      <c r="BQ22" s="1893"/>
      <c r="BR22" s="1893"/>
      <c r="BS22" s="1893"/>
      <c r="BT22" s="1893"/>
      <c r="BU22" s="1893"/>
      <c r="BV22" s="1893"/>
      <c r="BW22" s="1893"/>
      <c r="BX22" s="1893"/>
      <c r="BY22" s="1893"/>
      <c r="BZ22" s="1893"/>
      <c r="CA22" s="1893"/>
      <c r="CB22" s="1893"/>
      <c r="CC22" s="1893"/>
      <c r="CD22" s="1893"/>
      <c r="CE22" s="1893"/>
      <c r="CF22" s="1893"/>
      <c r="CG22" s="1893"/>
      <c r="CH22" s="1893"/>
      <c r="CI22" s="1893"/>
      <c r="CJ22" s="1893"/>
      <c r="CK22" s="1893"/>
      <c r="CL22" s="1893"/>
      <c r="CM22" s="1893"/>
      <c r="CN22" s="1893"/>
      <c r="CO22" s="1893"/>
      <c r="CP22" s="1893"/>
      <c r="CQ22" s="1893"/>
      <c r="CR22" s="1893"/>
      <c r="CS22" s="1893"/>
      <c r="CT22" s="1893"/>
      <c r="CU22" s="1893"/>
      <c r="CV22" s="1893"/>
      <c r="CW22" s="1893"/>
      <c r="CX22" s="1893"/>
      <c r="CY22" s="1893"/>
      <c r="CZ22" s="1893"/>
      <c r="DA22" s="1894"/>
    </row>
    <row r="23" spans="1:105">
      <c r="A23" s="1862"/>
      <c r="B23" s="1863"/>
      <c r="C23" s="1864"/>
      <c r="D23" s="1871"/>
      <c r="E23" s="1872"/>
      <c r="F23" s="1872"/>
      <c r="G23" s="1872"/>
      <c r="H23" s="1872"/>
      <c r="I23" s="1872"/>
      <c r="J23" s="1872"/>
      <c r="K23" s="1872"/>
      <c r="L23" s="1872"/>
      <c r="M23" s="1872"/>
      <c r="N23" s="1872"/>
      <c r="O23" s="1872"/>
      <c r="P23" s="1872"/>
      <c r="Q23" s="1872"/>
      <c r="R23" s="1872"/>
      <c r="S23" s="1872"/>
      <c r="T23" s="1872"/>
      <c r="U23" s="1872"/>
      <c r="V23" s="1872"/>
      <c r="W23" s="1872"/>
      <c r="X23" s="1872"/>
      <c r="Y23" s="1872"/>
      <c r="Z23" s="1872"/>
      <c r="AA23" s="1872"/>
      <c r="AB23" s="1872"/>
      <c r="AC23" s="1872"/>
      <c r="AD23" s="1872"/>
      <c r="AE23" s="1872"/>
      <c r="AF23" s="1872"/>
      <c r="AG23" s="1872"/>
      <c r="AH23" s="1872"/>
      <c r="AI23" s="1872"/>
      <c r="AJ23" s="1872"/>
      <c r="AK23" s="1872"/>
      <c r="AL23" s="1873"/>
      <c r="AM23" s="1880"/>
      <c r="AN23" s="1881"/>
      <c r="AO23" s="1881"/>
      <c r="AP23" s="1881"/>
      <c r="AQ23" s="1881"/>
      <c r="AR23" s="1881"/>
      <c r="AS23" s="1881"/>
      <c r="AT23" s="1881"/>
      <c r="AU23" s="1881"/>
      <c r="AV23" s="1881"/>
      <c r="AW23" s="1881"/>
      <c r="AX23" s="1881"/>
      <c r="AY23" s="1881"/>
      <c r="AZ23" s="1882"/>
      <c r="BB23" s="1877" t="s">
        <v>188</v>
      </c>
      <c r="BC23" s="1878"/>
      <c r="BD23" s="1879"/>
      <c r="BE23" s="1886" t="s">
        <v>1352</v>
      </c>
      <c r="BF23" s="1887"/>
      <c r="BG23" s="1887"/>
      <c r="BH23" s="1887"/>
      <c r="BI23" s="1887"/>
      <c r="BJ23" s="1887"/>
      <c r="BK23" s="1887"/>
      <c r="BL23" s="1887"/>
      <c r="BM23" s="1887"/>
      <c r="BN23" s="1887"/>
      <c r="BO23" s="1887"/>
      <c r="BP23" s="1887"/>
      <c r="BQ23" s="1887"/>
      <c r="BR23" s="1887"/>
      <c r="BS23" s="1887"/>
      <c r="BT23" s="1887"/>
      <c r="BU23" s="1887"/>
      <c r="BV23" s="1887"/>
      <c r="BW23" s="1887"/>
      <c r="BX23" s="1887"/>
      <c r="BY23" s="1887"/>
      <c r="BZ23" s="1887"/>
      <c r="CA23" s="1887"/>
      <c r="CB23" s="1887"/>
      <c r="CC23" s="1887"/>
      <c r="CD23" s="1887"/>
      <c r="CE23" s="1887"/>
      <c r="CF23" s="1887"/>
      <c r="CG23" s="1887"/>
      <c r="CH23" s="1887"/>
      <c r="CI23" s="1887"/>
      <c r="CJ23" s="1887"/>
      <c r="CK23" s="1887"/>
      <c r="CL23" s="1887"/>
      <c r="CM23" s="1887"/>
      <c r="CN23" s="1887"/>
      <c r="CO23" s="1887"/>
      <c r="CP23" s="1887"/>
      <c r="CQ23" s="1887"/>
      <c r="CR23" s="1887"/>
      <c r="CS23" s="1887"/>
      <c r="CT23" s="1887"/>
      <c r="CU23" s="1887"/>
      <c r="CV23" s="1887"/>
      <c r="CW23" s="1887"/>
      <c r="CX23" s="1887"/>
      <c r="CY23" s="1887"/>
      <c r="CZ23" s="1887"/>
      <c r="DA23" s="1888"/>
    </row>
    <row r="24" spans="1:105" ht="21" customHeight="1" thickBot="1">
      <c r="A24" s="1865"/>
      <c r="B24" s="1866"/>
      <c r="C24" s="1867"/>
      <c r="D24" s="1874"/>
      <c r="E24" s="1875"/>
      <c r="F24" s="1875"/>
      <c r="G24" s="1875"/>
      <c r="H24" s="1875"/>
      <c r="I24" s="1875"/>
      <c r="J24" s="1875"/>
      <c r="K24" s="1875"/>
      <c r="L24" s="1875"/>
      <c r="M24" s="1875"/>
      <c r="N24" s="1875"/>
      <c r="O24" s="1875"/>
      <c r="P24" s="1875"/>
      <c r="Q24" s="1875"/>
      <c r="R24" s="1875"/>
      <c r="S24" s="1875"/>
      <c r="T24" s="1875"/>
      <c r="U24" s="1875"/>
      <c r="V24" s="1875"/>
      <c r="W24" s="1875"/>
      <c r="X24" s="1875"/>
      <c r="Y24" s="1875"/>
      <c r="Z24" s="1875"/>
      <c r="AA24" s="1875"/>
      <c r="AB24" s="1875"/>
      <c r="AC24" s="1875"/>
      <c r="AD24" s="1875"/>
      <c r="AE24" s="1875"/>
      <c r="AF24" s="1875"/>
      <c r="AG24" s="1875"/>
      <c r="AH24" s="1875"/>
      <c r="AI24" s="1875"/>
      <c r="AJ24" s="1875"/>
      <c r="AK24" s="1875"/>
      <c r="AL24" s="1876"/>
      <c r="AM24" s="1883"/>
      <c r="AN24" s="1884"/>
      <c r="AO24" s="1884"/>
      <c r="AP24" s="1884"/>
      <c r="AQ24" s="1884"/>
      <c r="AR24" s="1884"/>
      <c r="AS24" s="1884"/>
      <c r="AT24" s="1884"/>
      <c r="AU24" s="1884"/>
      <c r="AV24" s="1884"/>
      <c r="AW24" s="1884"/>
      <c r="AX24" s="1884"/>
      <c r="AY24" s="1884"/>
      <c r="AZ24" s="1885"/>
      <c r="BB24" s="1880"/>
      <c r="BC24" s="1881"/>
      <c r="BD24" s="1882"/>
      <c r="BE24" s="1889"/>
      <c r="BF24" s="1890"/>
      <c r="BG24" s="1890"/>
      <c r="BH24" s="1890"/>
      <c r="BI24" s="1890"/>
      <c r="BJ24" s="1890"/>
      <c r="BK24" s="1890"/>
      <c r="BL24" s="1890"/>
      <c r="BM24" s="1890"/>
      <c r="BN24" s="1890"/>
      <c r="BO24" s="1890"/>
      <c r="BP24" s="1890"/>
      <c r="BQ24" s="1890"/>
      <c r="BR24" s="1890"/>
      <c r="BS24" s="1890"/>
      <c r="BT24" s="1890"/>
      <c r="BU24" s="1890"/>
      <c r="BV24" s="1890"/>
      <c r="BW24" s="1890"/>
      <c r="BX24" s="1890"/>
      <c r="BY24" s="1890"/>
      <c r="BZ24" s="1890"/>
      <c r="CA24" s="1890"/>
      <c r="CB24" s="1890"/>
      <c r="CC24" s="1890"/>
      <c r="CD24" s="1890"/>
      <c r="CE24" s="1890"/>
      <c r="CF24" s="1890"/>
      <c r="CG24" s="1890"/>
      <c r="CH24" s="1890"/>
      <c r="CI24" s="1890"/>
      <c r="CJ24" s="1890"/>
      <c r="CK24" s="1890"/>
      <c r="CL24" s="1890"/>
      <c r="CM24" s="1890"/>
      <c r="CN24" s="1890"/>
      <c r="CO24" s="1890"/>
      <c r="CP24" s="1890"/>
      <c r="CQ24" s="1890"/>
      <c r="CR24" s="1890"/>
      <c r="CS24" s="1890"/>
      <c r="CT24" s="1890"/>
      <c r="CU24" s="1890"/>
      <c r="CV24" s="1890"/>
      <c r="CW24" s="1890"/>
      <c r="CX24" s="1890"/>
      <c r="CY24" s="1890"/>
      <c r="CZ24" s="1890"/>
      <c r="DA24" s="1891"/>
    </row>
    <row r="25" spans="1:105" ht="13.5" thickBot="1">
      <c r="A25" s="1859">
        <v>3</v>
      </c>
      <c r="B25" s="1860"/>
      <c r="C25" s="1861"/>
      <c r="D25" s="1868" t="s">
        <v>1275</v>
      </c>
      <c r="E25" s="1887"/>
      <c r="F25" s="1887"/>
      <c r="G25" s="1887"/>
      <c r="H25" s="1887"/>
      <c r="I25" s="1887"/>
      <c r="J25" s="1887"/>
      <c r="K25" s="1887"/>
      <c r="L25" s="1887"/>
      <c r="M25" s="1887"/>
      <c r="N25" s="1887"/>
      <c r="O25" s="1887"/>
      <c r="P25" s="1887"/>
      <c r="Q25" s="1887"/>
      <c r="R25" s="1887"/>
      <c r="S25" s="1887"/>
      <c r="T25" s="1887"/>
      <c r="U25" s="1887"/>
      <c r="V25" s="1887"/>
      <c r="W25" s="1887"/>
      <c r="X25" s="1887"/>
      <c r="Y25" s="1887"/>
      <c r="Z25" s="1887"/>
      <c r="AA25" s="1887"/>
      <c r="AB25" s="1887"/>
      <c r="AC25" s="1887"/>
      <c r="AD25" s="1887"/>
      <c r="AE25" s="1887"/>
      <c r="AF25" s="1887"/>
      <c r="AG25" s="1887"/>
      <c r="AH25" s="1887"/>
      <c r="AI25" s="1887"/>
      <c r="AJ25" s="1887"/>
      <c r="AK25" s="1887"/>
      <c r="AL25" s="1888"/>
      <c r="AM25" s="1859" t="s">
        <v>178</v>
      </c>
      <c r="AN25" s="1860"/>
      <c r="AO25" s="1860"/>
      <c r="AP25" s="1860"/>
      <c r="AQ25" s="1860"/>
      <c r="AR25" s="1860"/>
      <c r="AS25" s="1860"/>
      <c r="AT25" s="1860"/>
      <c r="AU25" s="1860"/>
      <c r="AV25" s="1860"/>
      <c r="AW25" s="1860"/>
      <c r="AX25" s="1860"/>
      <c r="AY25" s="1860"/>
      <c r="AZ25" s="1861"/>
      <c r="BB25" s="1883"/>
      <c r="BC25" s="1884"/>
      <c r="BD25" s="1885"/>
      <c r="BE25" s="1892"/>
      <c r="BF25" s="1893"/>
      <c r="BG25" s="1893"/>
      <c r="BH25" s="1893"/>
      <c r="BI25" s="1893"/>
      <c r="BJ25" s="1893"/>
      <c r="BK25" s="1893"/>
      <c r="BL25" s="1893"/>
      <c r="BM25" s="1893"/>
      <c r="BN25" s="1893"/>
      <c r="BO25" s="1893"/>
      <c r="BP25" s="1893"/>
      <c r="BQ25" s="1893"/>
      <c r="BR25" s="1893"/>
      <c r="BS25" s="1893"/>
      <c r="BT25" s="1893"/>
      <c r="BU25" s="1893"/>
      <c r="BV25" s="1893"/>
      <c r="BW25" s="1893"/>
      <c r="BX25" s="1893"/>
      <c r="BY25" s="1893"/>
      <c r="BZ25" s="1893"/>
      <c r="CA25" s="1893"/>
      <c r="CB25" s="1893"/>
      <c r="CC25" s="1893"/>
      <c r="CD25" s="1893"/>
      <c r="CE25" s="1893"/>
      <c r="CF25" s="1893"/>
      <c r="CG25" s="1893"/>
      <c r="CH25" s="1893"/>
      <c r="CI25" s="1893"/>
      <c r="CJ25" s="1893"/>
      <c r="CK25" s="1893"/>
      <c r="CL25" s="1893"/>
      <c r="CM25" s="1893"/>
      <c r="CN25" s="1893"/>
      <c r="CO25" s="1893"/>
      <c r="CP25" s="1893"/>
      <c r="CQ25" s="1893"/>
      <c r="CR25" s="1893"/>
      <c r="CS25" s="1893"/>
      <c r="CT25" s="1893"/>
      <c r="CU25" s="1893"/>
      <c r="CV25" s="1893"/>
      <c r="CW25" s="1893"/>
      <c r="CX25" s="1893"/>
      <c r="CY25" s="1893"/>
      <c r="CZ25" s="1893"/>
      <c r="DA25" s="1894"/>
    </row>
    <row r="26" spans="1:105">
      <c r="A26" s="1862"/>
      <c r="B26" s="1863"/>
      <c r="C26" s="1864"/>
      <c r="D26" s="1889"/>
      <c r="E26" s="1931"/>
      <c r="F26" s="1931"/>
      <c r="G26" s="1931"/>
      <c r="H26" s="1931"/>
      <c r="I26" s="1931"/>
      <c r="J26" s="1931"/>
      <c r="K26" s="1931"/>
      <c r="L26" s="1931"/>
      <c r="M26" s="1931"/>
      <c r="N26" s="1931"/>
      <c r="O26" s="1931"/>
      <c r="P26" s="1931"/>
      <c r="Q26" s="1931"/>
      <c r="R26" s="1931"/>
      <c r="S26" s="1931"/>
      <c r="T26" s="1931"/>
      <c r="U26" s="1931"/>
      <c r="V26" s="1931"/>
      <c r="W26" s="1931"/>
      <c r="X26" s="1931"/>
      <c r="Y26" s="1931"/>
      <c r="Z26" s="1931"/>
      <c r="AA26" s="1931"/>
      <c r="AB26" s="1931"/>
      <c r="AC26" s="1931"/>
      <c r="AD26" s="1931"/>
      <c r="AE26" s="1931"/>
      <c r="AF26" s="1931"/>
      <c r="AG26" s="1931"/>
      <c r="AH26" s="1931"/>
      <c r="AI26" s="1931"/>
      <c r="AJ26" s="1931"/>
      <c r="AK26" s="1931"/>
      <c r="AL26" s="1891"/>
      <c r="AM26" s="1862"/>
      <c r="AN26" s="1863"/>
      <c r="AO26" s="1863"/>
      <c r="AP26" s="1863"/>
      <c r="AQ26" s="1863"/>
      <c r="AR26" s="1863"/>
      <c r="AS26" s="1863"/>
      <c r="AT26" s="1863"/>
      <c r="AU26" s="1863"/>
      <c r="AV26" s="1863"/>
      <c r="AW26" s="1863"/>
      <c r="AX26" s="1863"/>
      <c r="AY26" s="1863"/>
      <c r="AZ26" s="1864"/>
      <c r="BB26" s="1877" t="s">
        <v>182</v>
      </c>
      <c r="BC26" s="1878"/>
      <c r="BD26" s="1879"/>
      <c r="BE26" s="1868" t="s">
        <v>1353</v>
      </c>
      <c r="BF26" s="1869"/>
      <c r="BG26" s="1869"/>
      <c r="BH26" s="1869"/>
      <c r="BI26" s="1869"/>
      <c r="BJ26" s="1869"/>
      <c r="BK26" s="1869"/>
      <c r="BL26" s="1869"/>
      <c r="BM26" s="1869"/>
      <c r="BN26" s="1869"/>
      <c r="BO26" s="1869"/>
      <c r="BP26" s="1869"/>
      <c r="BQ26" s="1869"/>
      <c r="BR26" s="1869"/>
      <c r="BS26" s="1869"/>
      <c r="BT26" s="1869"/>
      <c r="BU26" s="1869"/>
      <c r="BV26" s="1869"/>
      <c r="BW26" s="1869"/>
      <c r="BX26" s="1869"/>
      <c r="BY26" s="1869"/>
      <c r="BZ26" s="1869"/>
      <c r="CA26" s="1869"/>
      <c r="CB26" s="1869"/>
      <c r="CC26" s="1869"/>
      <c r="CD26" s="1869"/>
      <c r="CE26" s="1869"/>
      <c r="CF26" s="1869"/>
      <c r="CG26" s="1869"/>
      <c r="CH26" s="1869"/>
      <c r="CI26" s="1869"/>
      <c r="CJ26" s="1869"/>
      <c r="CK26" s="1869"/>
      <c r="CL26" s="1869"/>
      <c r="CM26" s="1869"/>
      <c r="CN26" s="1869"/>
      <c r="CO26" s="1869"/>
      <c r="CP26" s="1869"/>
      <c r="CQ26" s="1869"/>
      <c r="CR26" s="1869"/>
      <c r="CS26" s="1869"/>
      <c r="CT26" s="1869"/>
      <c r="CU26" s="1869"/>
      <c r="CV26" s="1869"/>
      <c r="CW26" s="1869"/>
      <c r="CX26" s="1869"/>
      <c r="CY26" s="1869"/>
      <c r="CZ26" s="1869"/>
      <c r="DA26" s="1870"/>
    </row>
    <row r="27" spans="1:105" ht="18.75" customHeight="1">
      <c r="A27" s="1862"/>
      <c r="B27" s="1863"/>
      <c r="C27" s="1864"/>
      <c r="D27" s="1889"/>
      <c r="E27" s="1931"/>
      <c r="F27" s="1931"/>
      <c r="G27" s="1931"/>
      <c r="H27" s="1931"/>
      <c r="I27" s="1931"/>
      <c r="J27" s="1931"/>
      <c r="K27" s="1931"/>
      <c r="L27" s="1931"/>
      <c r="M27" s="1931"/>
      <c r="N27" s="1931"/>
      <c r="O27" s="1931"/>
      <c r="P27" s="1931"/>
      <c r="Q27" s="1931"/>
      <c r="R27" s="1931"/>
      <c r="S27" s="1931"/>
      <c r="T27" s="1931"/>
      <c r="U27" s="1931"/>
      <c r="V27" s="1931"/>
      <c r="W27" s="1931"/>
      <c r="X27" s="1931"/>
      <c r="Y27" s="1931"/>
      <c r="Z27" s="1931"/>
      <c r="AA27" s="1931"/>
      <c r="AB27" s="1931"/>
      <c r="AC27" s="1931"/>
      <c r="AD27" s="1931"/>
      <c r="AE27" s="1931"/>
      <c r="AF27" s="1931"/>
      <c r="AG27" s="1931"/>
      <c r="AH27" s="1931"/>
      <c r="AI27" s="1931"/>
      <c r="AJ27" s="1931"/>
      <c r="AK27" s="1931"/>
      <c r="AL27" s="1891"/>
      <c r="AM27" s="1862"/>
      <c r="AN27" s="1863"/>
      <c r="AO27" s="1863"/>
      <c r="AP27" s="1863"/>
      <c r="AQ27" s="1863"/>
      <c r="AR27" s="1863"/>
      <c r="AS27" s="1863"/>
      <c r="AT27" s="1863"/>
      <c r="AU27" s="1863"/>
      <c r="AV27" s="1863"/>
      <c r="AW27" s="1863"/>
      <c r="AX27" s="1863"/>
      <c r="AY27" s="1863"/>
      <c r="AZ27" s="1864"/>
      <c r="BB27" s="1880"/>
      <c r="BC27" s="1881"/>
      <c r="BD27" s="1882"/>
      <c r="BE27" s="1871"/>
      <c r="BF27" s="1872"/>
      <c r="BG27" s="1872"/>
      <c r="BH27" s="1872"/>
      <c r="BI27" s="1872"/>
      <c r="BJ27" s="1872"/>
      <c r="BK27" s="1872"/>
      <c r="BL27" s="1872"/>
      <c r="BM27" s="1872"/>
      <c r="BN27" s="1872"/>
      <c r="BO27" s="1872"/>
      <c r="BP27" s="1872"/>
      <c r="BQ27" s="1872"/>
      <c r="BR27" s="1872"/>
      <c r="BS27" s="1872"/>
      <c r="BT27" s="1872"/>
      <c r="BU27" s="1872"/>
      <c r="BV27" s="1872"/>
      <c r="BW27" s="1872"/>
      <c r="BX27" s="1872"/>
      <c r="BY27" s="1872"/>
      <c r="BZ27" s="1872"/>
      <c r="CA27" s="1872"/>
      <c r="CB27" s="1872"/>
      <c r="CC27" s="1872"/>
      <c r="CD27" s="1872"/>
      <c r="CE27" s="1872"/>
      <c r="CF27" s="1872"/>
      <c r="CG27" s="1872"/>
      <c r="CH27" s="1872"/>
      <c r="CI27" s="1872"/>
      <c r="CJ27" s="1872"/>
      <c r="CK27" s="1872"/>
      <c r="CL27" s="1872"/>
      <c r="CM27" s="1872"/>
      <c r="CN27" s="1872"/>
      <c r="CO27" s="1872"/>
      <c r="CP27" s="1872"/>
      <c r="CQ27" s="1872"/>
      <c r="CR27" s="1872"/>
      <c r="CS27" s="1872"/>
      <c r="CT27" s="1872"/>
      <c r="CU27" s="1872"/>
      <c r="CV27" s="1872"/>
      <c r="CW27" s="1872"/>
      <c r="CX27" s="1872"/>
      <c r="CY27" s="1872"/>
      <c r="CZ27" s="1872"/>
      <c r="DA27" s="1873"/>
    </row>
    <row r="28" spans="1:105" ht="15.75" customHeight="1" thickBot="1">
      <c r="A28" s="1862"/>
      <c r="B28" s="1863"/>
      <c r="C28" s="1864"/>
      <c r="D28" s="1889"/>
      <c r="E28" s="1931"/>
      <c r="F28" s="1931"/>
      <c r="G28" s="1931"/>
      <c r="H28" s="1931"/>
      <c r="I28" s="1931"/>
      <c r="J28" s="1931"/>
      <c r="K28" s="1931"/>
      <c r="L28" s="1931"/>
      <c r="M28" s="1931"/>
      <c r="N28" s="1931"/>
      <c r="O28" s="1931"/>
      <c r="P28" s="1931"/>
      <c r="Q28" s="1931"/>
      <c r="R28" s="1931"/>
      <c r="S28" s="1931"/>
      <c r="T28" s="1931"/>
      <c r="U28" s="1931"/>
      <c r="V28" s="1931"/>
      <c r="W28" s="1931"/>
      <c r="X28" s="1931"/>
      <c r="Y28" s="1931"/>
      <c r="Z28" s="1931"/>
      <c r="AA28" s="1931"/>
      <c r="AB28" s="1931"/>
      <c r="AC28" s="1931"/>
      <c r="AD28" s="1931"/>
      <c r="AE28" s="1931"/>
      <c r="AF28" s="1931"/>
      <c r="AG28" s="1931"/>
      <c r="AH28" s="1931"/>
      <c r="AI28" s="1931"/>
      <c r="AJ28" s="1931"/>
      <c r="AK28" s="1931"/>
      <c r="AL28" s="1891"/>
      <c r="AM28" s="1862"/>
      <c r="AN28" s="1863"/>
      <c r="AO28" s="1863"/>
      <c r="AP28" s="1863"/>
      <c r="AQ28" s="1863"/>
      <c r="AR28" s="1863"/>
      <c r="AS28" s="1863"/>
      <c r="AT28" s="1863"/>
      <c r="AU28" s="1863"/>
      <c r="AV28" s="1863"/>
      <c r="AW28" s="1863"/>
      <c r="AX28" s="1863"/>
      <c r="AY28" s="1863"/>
      <c r="AZ28" s="1864"/>
      <c r="BB28" s="1883"/>
      <c r="BC28" s="1884"/>
      <c r="BD28" s="1885"/>
      <c r="BE28" s="1874"/>
      <c r="BF28" s="1875"/>
      <c r="BG28" s="1875"/>
      <c r="BH28" s="1875"/>
      <c r="BI28" s="1875"/>
      <c r="BJ28" s="1875"/>
      <c r="BK28" s="1875"/>
      <c r="BL28" s="1875"/>
      <c r="BM28" s="1875"/>
      <c r="BN28" s="1875"/>
      <c r="BO28" s="1875"/>
      <c r="BP28" s="1875"/>
      <c r="BQ28" s="1875"/>
      <c r="BR28" s="1875"/>
      <c r="BS28" s="1875"/>
      <c r="BT28" s="1875"/>
      <c r="BU28" s="1875"/>
      <c r="BV28" s="1875"/>
      <c r="BW28" s="1875"/>
      <c r="BX28" s="1875"/>
      <c r="BY28" s="1875"/>
      <c r="BZ28" s="1875"/>
      <c r="CA28" s="1875"/>
      <c r="CB28" s="1875"/>
      <c r="CC28" s="1875"/>
      <c r="CD28" s="1875"/>
      <c r="CE28" s="1875"/>
      <c r="CF28" s="1875"/>
      <c r="CG28" s="1875"/>
      <c r="CH28" s="1875"/>
      <c r="CI28" s="1875"/>
      <c r="CJ28" s="1875"/>
      <c r="CK28" s="1875"/>
      <c r="CL28" s="1875"/>
      <c r="CM28" s="1875"/>
      <c r="CN28" s="1875"/>
      <c r="CO28" s="1875"/>
      <c r="CP28" s="1875"/>
      <c r="CQ28" s="1875"/>
      <c r="CR28" s="1875"/>
      <c r="CS28" s="1875"/>
      <c r="CT28" s="1875"/>
      <c r="CU28" s="1875"/>
      <c r="CV28" s="1875"/>
      <c r="CW28" s="1875"/>
      <c r="CX28" s="1875"/>
      <c r="CY28" s="1875"/>
      <c r="CZ28" s="1875"/>
      <c r="DA28" s="1876"/>
    </row>
    <row r="29" spans="1:105">
      <c r="A29" s="1862"/>
      <c r="B29" s="1863"/>
      <c r="C29" s="1864"/>
      <c r="D29" s="1889"/>
      <c r="E29" s="1931"/>
      <c r="F29" s="1931"/>
      <c r="G29" s="1931"/>
      <c r="H29" s="1931"/>
      <c r="I29" s="1931"/>
      <c r="J29" s="1931"/>
      <c r="K29" s="1931"/>
      <c r="L29" s="1931"/>
      <c r="M29" s="1931"/>
      <c r="N29" s="1931"/>
      <c r="O29" s="1931"/>
      <c r="P29" s="1931"/>
      <c r="Q29" s="1931"/>
      <c r="R29" s="1931"/>
      <c r="S29" s="1931"/>
      <c r="T29" s="1931"/>
      <c r="U29" s="1931"/>
      <c r="V29" s="1931"/>
      <c r="W29" s="1931"/>
      <c r="X29" s="1931"/>
      <c r="Y29" s="1931"/>
      <c r="Z29" s="1931"/>
      <c r="AA29" s="1931"/>
      <c r="AB29" s="1931"/>
      <c r="AC29" s="1931"/>
      <c r="AD29" s="1931"/>
      <c r="AE29" s="1931"/>
      <c r="AF29" s="1931"/>
      <c r="AG29" s="1931"/>
      <c r="AH29" s="1931"/>
      <c r="AI29" s="1931"/>
      <c r="AJ29" s="1931"/>
      <c r="AK29" s="1931"/>
      <c r="AL29" s="1891"/>
      <c r="AM29" s="1862"/>
      <c r="AN29" s="1863"/>
      <c r="AO29" s="1863"/>
      <c r="AP29" s="1863"/>
      <c r="AQ29" s="1863"/>
      <c r="AR29" s="1863"/>
      <c r="AS29" s="1863"/>
      <c r="AT29" s="1863"/>
      <c r="AU29" s="1863"/>
      <c r="AV29" s="1863"/>
      <c r="AW29" s="1863"/>
      <c r="AX29" s="1863"/>
      <c r="AY29" s="1863"/>
      <c r="AZ29" s="1864"/>
      <c r="BB29" s="1877" t="s">
        <v>190</v>
      </c>
      <c r="BC29" s="1878"/>
      <c r="BD29" s="1879"/>
      <c r="BE29" s="1886" t="s">
        <v>1354</v>
      </c>
      <c r="BF29" s="1887"/>
      <c r="BG29" s="1887"/>
      <c r="BH29" s="1887"/>
      <c r="BI29" s="1887"/>
      <c r="BJ29" s="1887"/>
      <c r="BK29" s="1887"/>
      <c r="BL29" s="1887"/>
      <c r="BM29" s="1887"/>
      <c r="BN29" s="1887"/>
      <c r="BO29" s="1887"/>
      <c r="BP29" s="1887"/>
      <c r="BQ29" s="1887"/>
      <c r="BR29" s="1887"/>
      <c r="BS29" s="1887"/>
      <c r="BT29" s="1887"/>
      <c r="BU29" s="1887"/>
      <c r="BV29" s="1887"/>
      <c r="BW29" s="1887"/>
      <c r="BX29" s="1887"/>
      <c r="BY29" s="1887"/>
      <c r="BZ29" s="1887"/>
      <c r="CA29" s="1887"/>
      <c r="CB29" s="1887"/>
      <c r="CC29" s="1887"/>
      <c r="CD29" s="1887"/>
      <c r="CE29" s="1887"/>
      <c r="CF29" s="1887"/>
      <c r="CG29" s="1887"/>
      <c r="CH29" s="1887"/>
      <c r="CI29" s="1887"/>
      <c r="CJ29" s="1887"/>
      <c r="CK29" s="1887"/>
      <c r="CL29" s="1887"/>
      <c r="CM29" s="1887"/>
      <c r="CN29" s="1887"/>
      <c r="CO29" s="1887"/>
      <c r="CP29" s="1887"/>
      <c r="CQ29" s="1887"/>
      <c r="CR29" s="1887"/>
      <c r="CS29" s="1887"/>
      <c r="CT29" s="1887"/>
      <c r="CU29" s="1887"/>
      <c r="CV29" s="1887"/>
      <c r="CW29" s="1887"/>
      <c r="CX29" s="1887"/>
      <c r="CY29" s="1887"/>
      <c r="CZ29" s="1887"/>
      <c r="DA29" s="1888"/>
    </row>
    <row r="30" spans="1:105">
      <c r="A30" s="1862"/>
      <c r="B30" s="1863"/>
      <c r="C30" s="1864"/>
      <c r="D30" s="1889"/>
      <c r="E30" s="1931"/>
      <c r="F30" s="1931"/>
      <c r="G30" s="1931"/>
      <c r="H30" s="1931"/>
      <c r="I30" s="1931"/>
      <c r="J30" s="1931"/>
      <c r="K30" s="1931"/>
      <c r="L30" s="1931"/>
      <c r="M30" s="1931"/>
      <c r="N30" s="1931"/>
      <c r="O30" s="1931"/>
      <c r="P30" s="1931"/>
      <c r="Q30" s="1931"/>
      <c r="R30" s="1931"/>
      <c r="S30" s="1931"/>
      <c r="T30" s="1931"/>
      <c r="U30" s="1931"/>
      <c r="V30" s="1931"/>
      <c r="W30" s="1931"/>
      <c r="X30" s="1931"/>
      <c r="Y30" s="1931"/>
      <c r="Z30" s="1931"/>
      <c r="AA30" s="1931"/>
      <c r="AB30" s="1931"/>
      <c r="AC30" s="1931"/>
      <c r="AD30" s="1931"/>
      <c r="AE30" s="1931"/>
      <c r="AF30" s="1931"/>
      <c r="AG30" s="1931"/>
      <c r="AH30" s="1931"/>
      <c r="AI30" s="1931"/>
      <c r="AJ30" s="1931"/>
      <c r="AK30" s="1931"/>
      <c r="AL30" s="1891"/>
      <c r="AM30" s="1862"/>
      <c r="AN30" s="1863"/>
      <c r="AO30" s="1863"/>
      <c r="AP30" s="1863"/>
      <c r="AQ30" s="1863"/>
      <c r="AR30" s="1863"/>
      <c r="AS30" s="1863"/>
      <c r="AT30" s="1863"/>
      <c r="AU30" s="1863"/>
      <c r="AV30" s="1863"/>
      <c r="AW30" s="1863"/>
      <c r="AX30" s="1863"/>
      <c r="AY30" s="1863"/>
      <c r="AZ30" s="1864"/>
      <c r="BB30" s="1880"/>
      <c r="BC30" s="1881"/>
      <c r="BD30" s="1882"/>
      <c r="BE30" s="1889"/>
      <c r="BF30" s="1890"/>
      <c r="BG30" s="1890"/>
      <c r="BH30" s="1890"/>
      <c r="BI30" s="1890"/>
      <c r="BJ30" s="1890"/>
      <c r="BK30" s="1890"/>
      <c r="BL30" s="1890"/>
      <c r="BM30" s="1890"/>
      <c r="BN30" s="1890"/>
      <c r="BO30" s="1890"/>
      <c r="BP30" s="1890"/>
      <c r="BQ30" s="1890"/>
      <c r="BR30" s="1890"/>
      <c r="BS30" s="1890"/>
      <c r="BT30" s="1890"/>
      <c r="BU30" s="1890"/>
      <c r="BV30" s="1890"/>
      <c r="BW30" s="1890"/>
      <c r="BX30" s="1890"/>
      <c r="BY30" s="1890"/>
      <c r="BZ30" s="1890"/>
      <c r="CA30" s="1890"/>
      <c r="CB30" s="1890"/>
      <c r="CC30" s="1890"/>
      <c r="CD30" s="1890"/>
      <c r="CE30" s="1890"/>
      <c r="CF30" s="1890"/>
      <c r="CG30" s="1890"/>
      <c r="CH30" s="1890"/>
      <c r="CI30" s="1890"/>
      <c r="CJ30" s="1890"/>
      <c r="CK30" s="1890"/>
      <c r="CL30" s="1890"/>
      <c r="CM30" s="1890"/>
      <c r="CN30" s="1890"/>
      <c r="CO30" s="1890"/>
      <c r="CP30" s="1890"/>
      <c r="CQ30" s="1890"/>
      <c r="CR30" s="1890"/>
      <c r="CS30" s="1890"/>
      <c r="CT30" s="1890"/>
      <c r="CU30" s="1890"/>
      <c r="CV30" s="1890"/>
      <c r="CW30" s="1890"/>
      <c r="CX30" s="1890"/>
      <c r="CY30" s="1890"/>
      <c r="CZ30" s="1890"/>
      <c r="DA30" s="1891"/>
    </row>
    <row r="31" spans="1:105" ht="13.5" thickBot="1">
      <c r="A31" s="1862"/>
      <c r="B31" s="1863"/>
      <c r="C31" s="1864"/>
      <c r="D31" s="1889"/>
      <c r="E31" s="1931"/>
      <c r="F31" s="1931"/>
      <c r="G31" s="1931"/>
      <c r="H31" s="1931"/>
      <c r="I31" s="1931"/>
      <c r="J31" s="1931"/>
      <c r="K31" s="1931"/>
      <c r="L31" s="1931"/>
      <c r="M31" s="1931"/>
      <c r="N31" s="1931"/>
      <c r="O31" s="1931"/>
      <c r="P31" s="1931"/>
      <c r="Q31" s="1931"/>
      <c r="R31" s="1931"/>
      <c r="S31" s="1931"/>
      <c r="T31" s="1931"/>
      <c r="U31" s="1931"/>
      <c r="V31" s="1931"/>
      <c r="W31" s="1931"/>
      <c r="X31" s="1931"/>
      <c r="Y31" s="1931"/>
      <c r="Z31" s="1931"/>
      <c r="AA31" s="1931"/>
      <c r="AB31" s="1931"/>
      <c r="AC31" s="1931"/>
      <c r="AD31" s="1931"/>
      <c r="AE31" s="1931"/>
      <c r="AF31" s="1931"/>
      <c r="AG31" s="1931"/>
      <c r="AH31" s="1931"/>
      <c r="AI31" s="1931"/>
      <c r="AJ31" s="1931"/>
      <c r="AK31" s="1931"/>
      <c r="AL31" s="1891"/>
      <c r="AM31" s="1862"/>
      <c r="AN31" s="1863"/>
      <c r="AO31" s="1863"/>
      <c r="AP31" s="1863"/>
      <c r="AQ31" s="1863"/>
      <c r="AR31" s="1863"/>
      <c r="AS31" s="1863"/>
      <c r="AT31" s="1863"/>
      <c r="AU31" s="1863"/>
      <c r="AV31" s="1863"/>
      <c r="AW31" s="1863"/>
      <c r="AX31" s="1863"/>
      <c r="AY31" s="1863"/>
      <c r="AZ31" s="1864"/>
      <c r="BB31" s="1883"/>
      <c r="BC31" s="1884"/>
      <c r="BD31" s="1885"/>
      <c r="BE31" s="1892"/>
      <c r="BF31" s="1893"/>
      <c r="BG31" s="1893"/>
      <c r="BH31" s="1893"/>
      <c r="BI31" s="1893"/>
      <c r="BJ31" s="1893"/>
      <c r="BK31" s="1893"/>
      <c r="BL31" s="1893"/>
      <c r="BM31" s="1893"/>
      <c r="BN31" s="1893"/>
      <c r="BO31" s="1893"/>
      <c r="BP31" s="1893"/>
      <c r="BQ31" s="1893"/>
      <c r="BR31" s="1893"/>
      <c r="BS31" s="1893"/>
      <c r="BT31" s="1893"/>
      <c r="BU31" s="1893"/>
      <c r="BV31" s="1893"/>
      <c r="BW31" s="1893"/>
      <c r="BX31" s="1893"/>
      <c r="BY31" s="1893"/>
      <c r="BZ31" s="1893"/>
      <c r="CA31" s="1893"/>
      <c r="CB31" s="1893"/>
      <c r="CC31" s="1893"/>
      <c r="CD31" s="1893"/>
      <c r="CE31" s="1893"/>
      <c r="CF31" s="1893"/>
      <c r="CG31" s="1893"/>
      <c r="CH31" s="1893"/>
      <c r="CI31" s="1893"/>
      <c r="CJ31" s="1893"/>
      <c r="CK31" s="1893"/>
      <c r="CL31" s="1893"/>
      <c r="CM31" s="1893"/>
      <c r="CN31" s="1893"/>
      <c r="CO31" s="1893"/>
      <c r="CP31" s="1893"/>
      <c r="CQ31" s="1893"/>
      <c r="CR31" s="1893"/>
      <c r="CS31" s="1893"/>
      <c r="CT31" s="1893"/>
      <c r="CU31" s="1893"/>
      <c r="CV31" s="1893"/>
      <c r="CW31" s="1893"/>
      <c r="CX31" s="1893"/>
      <c r="CY31" s="1893"/>
      <c r="CZ31" s="1893"/>
      <c r="DA31" s="1894"/>
    </row>
    <row r="32" spans="1:105" ht="41.25" customHeight="1" thickBot="1">
      <c r="A32" s="1865"/>
      <c r="B32" s="1866"/>
      <c r="C32" s="1867"/>
      <c r="D32" s="1892"/>
      <c r="E32" s="1893"/>
      <c r="F32" s="1893"/>
      <c r="G32" s="1893"/>
      <c r="H32" s="1893"/>
      <c r="I32" s="1893"/>
      <c r="J32" s="1893"/>
      <c r="K32" s="1893"/>
      <c r="L32" s="1893"/>
      <c r="M32" s="1893"/>
      <c r="N32" s="1893"/>
      <c r="O32" s="1893"/>
      <c r="P32" s="1893"/>
      <c r="Q32" s="1893"/>
      <c r="R32" s="1893"/>
      <c r="S32" s="1893"/>
      <c r="T32" s="1893"/>
      <c r="U32" s="1893"/>
      <c r="V32" s="1893"/>
      <c r="W32" s="1893"/>
      <c r="X32" s="1893"/>
      <c r="Y32" s="1893"/>
      <c r="Z32" s="1893"/>
      <c r="AA32" s="1893"/>
      <c r="AB32" s="1893"/>
      <c r="AC32" s="1893"/>
      <c r="AD32" s="1893"/>
      <c r="AE32" s="1893"/>
      <c r="AF32" s="1893"/>
      <c r="AG32" s="1893"/>
      <c r="AH32" s="1893"/>
      <c r="AI32" s="1893"/>
      <c r="AJ32" s="1893"/>
      <c r="AK32" s="1893"/>
      <c r="AL32" s="1894"/>
      <c r="AM32" s="1865"/>
      <c r="AN32" s="1866"/>
      <c r="AO32" s="1866"/>
      <c r="AP32" s="1866"/>
      <c r="AQ32" s="1866"/>
      <c r="AR32" s="1866"/>
      <c r="AS32" s="1866"/>
      <c r="AT32" s="1866"/>
      <c r="AU32" s="1866"/>
      <c r="AV32" s="1866"/>
      <c r="AW32" s="1866"/>
      <c r="AX32" s="1866"/>
      <c r="AY32" s="1866"/>
      <c r="AZ32" s="1867"/>
      <c r="BB32" s="1877" t="s">
        <v>220</v>
      </c>
      <c r="BC32" s="1878"/>
      <c r="BD32" s="1879"/>
      <c r="BE32" s="1886" t="s">
        <v>1355</v>
      </c>
      <c r="BF32" s="1887"/>
      <c r="BG32" s="1887"/>
      <c r="BH32" s="1887"/>
      <c r="BI32" s="1887"/>
      <c r="BJ32" s="1887"/>
      <c r="BK32" s="1887"/>
      <c r="BL32" s="1887"/>
      <c r="BM32" s="1887"/>
      <c r="BN32" s="1887"/>
      <c r="BO32" s="1887"/>
      <c r="BP32" s="1887"/>
      <c r="BQ32" s="1887"/>
      <c r="BR32" s="1887"/>
      <c r="BS32" s="1887"/>
      <c r="BT32" s="1887"/>
      <c r="BU32" s="1887"/>
      <c r="BV32" s="1887"/>
      <c r="BW32" s="1887"/>
      <c r="BX32" s="1887"/>
      <c r="BY32" s="1887"/>
      <c r="BZ32" s="1887"/>
      <c r="CA32" s="1887"/>
      <c r="CB32" s="1887"/>
      <c r="CC32" s="1887"/>
      <c r="CD32" s="1887"/>
      <c r="CE32" s="1887"/>
      <c r="CF32" s="1887"/>
      <c r="CG32" s="1887"/>
      <c r="CH32" s="1887"/>
      <c r="CI32" s="1887"/>
      <c r="CJ32" s="1887"/>
      <c r="CK32" s="1887"/>
      <c r="CL32" s="1887"/>
      <c r="CM32" s="1887"/>
      <c r="CN32" s="1887"/>
      <c r="CO32" s="1887"/>
      <c r="CP32" s="1887"/>
      <c r="CQ32" s="1887"/>
      <c r="CR32" s="1887"/>
      <c r="CS32" s="1887"/>
      <c r="CT32" s="1887"/>
      <c r="CU32" s="1887"/>
      <c r="CV32" s="1887"/>
      <c r="CW32" s="1887"/>
      <c r="CX32" s="1887"/>
      <c r="CY32" s="1887"/>
      <c r="CZ32" s="1887"/>
      <c r="DA32" s="1888"/>
    </row>
    <row r="33" spans="1:105">
      <c r="A33" s="1859">
        <v>4</v>
      </c>
      <c r="B33" s="1860"/>
      <c r="C33" s="1861"/>
      <c r="D33" s="1886" t="s">
        <v>1276</v>
      </c>
      <c r="E33" s="1887"/>
      <c r="F33" s="1887"/>
      <c r="G33" s="1887"/>
      <c r="H33" s="1887"/>
      <c r="I33" s="1887"/>
      <c r="J33" s="1887"/>
      <c r="K33" s="1887"/>
      <c r="L33" s="1887"/>
      <c r="M33" s="1887"/>
      <c r="N33" s="1887"/>
      <c r="O33" s="1887"/>
      <c r="P33" s="1887"/>
      <c r="Q33" s="1887"/>
      <c r="R33" s="1887"/>
      <c r="S33" s="1887"/>
      <c r="T33" s="1887"/>
      <c r="U33" s="1887"/>
      <c r="V33" s="1887"/>
      <c r="W33" s="1887"/>
      <c r="X33" s="1887"/>
      <c r="Y33" s="1887"/>
      <c r="Z33" s="1887"/>
      <c r="AA33" s="1887"/>
      <c r="AB33" s="1887"/>
      <c r="AC33" s="1887"/>
      <c r="AD33" s="1887"/>
      <c r="AE33" s="1887"/>
      <c r="AF33" s="1887"/>
      <c r="AG33" s="1887"/>
      <c r="AH33" s="1887"/>
      <c r="AI33" s="1887"/>
      <c r="AJ33" s="1887"/>
      <c r="AK33" s="1887"/>
      <c r="AL33" s="1888"/>
      <c r="AM33" s="1877" t="s">
        <v>177</v>
      </c>
      <c r="AN33" s="1878"/>
      <c r="AO33" s="1878"/>
      <c r="AP33" s="1878"/>
      <c r="AQ33" s="1878"/>
      <c r="AR33" s="1878"/>
      <c r="AS33" s="1878"/>
      <c r="AT33" s="1878"/>
      <c r="AU33" s="1878"/>
      <c r="AV33" s="1878"/>
      <c r="AW33" s="1878"/>
      <c r="AX33" s="1878"/>
      <c r="AY33" s="1878"/>
      <c r="AZ33" s="1879"/>
      <c r="BB33" s="1880"/>
      <c r="BC33" s="1881"/>
      <c r="BD33" s="1882"/>
      <c r="BE33" s="1889"/>
      <c r="BF33" s="1890"/>
      <c r="BG33" s="1890"/>
      <c r="BH33" s="1890"/>
      <c r="BI33" s="1890"/>
      <c r="BJ33" s="1890"/>
      <c r="BK33" s="1890"/>
      <c r="BL33" s="1890"/>
      <c r="BM33" s="1890"/>
      <c r="BN33" s="1890"/>
      <c r="BO33" s="1890"/>
      <c r="BP33" s="1890"/>
      <c r="BQ33" s="1890"/>
      <c r="BR33" s="1890"/>
      <c r="BS33" s="1890"/>
      <c r="BT33" s="1890"/>
      <c r="BU33" s="1890"/>
      <c r="BV33" s="1890"/>
      <c r="BW33" s="1890"/>
      <c r="BX33" s="1890"/>
      <c r="BY33" s="1890"/>
      <c r="BZ33" s="1890"/>
      <c r="CA33" s="1890"/>
      <c r="CB33" s="1890"/>
      <c r="CC33" s="1890"/>
      <c r="CD33" s="1890"/>
      <c r="CE33" s="1890"/>
      <c r="CF33" s="1890"/>
      <c r="CG33" s="1890"/>
      <c r="CH33" s="1890"/>
      <c r="CI33" s="1890"/>
      <c r="CJ33" s="1890"/>
      <c r="CK33" s="1890"/>
      <c r="CL33" s="1890"/>
      <c r="CM33" s="1890"/>
      <c r="CN33" s="1890"/>
      <c r="CO33" s="1890"/>
      <c r="CP33" s="1890"/>
      <c r="CQ33" s="1890"/>
      <c r="CR33" s="1890"/>
      <c r="CS33" s="1890"/>
      <c r="CT33" s="1890"/>
      <c r="CU33" s="1890"/>
      <c r="CV33" s="1890"/>
      <c r="CW33" s="1890"/>
      <c r="CX33" s="1890"/>
      <c r="CY33" s="1890"/>
      <c r="CZ33" s="1890"/>
      <c r="DA33" s="1891"/>
    </row>
    <row r="34" spans="1:105" ht="13.5" thickBot="1">
      <c r="A34" s="1862"/>
      <c r="B34" s="1863"/>
      <c r="C34" s="1864"/>
      <c r="D34" s="1889"/>
      <c r="E34" s="1890"/>
      <c r="F34" s="1890"/>
      <c r="G34" s="1890"/>
      <c r="H34" s="1890"/>
      <c r="I34" s="1890"/>
      <c r="J34" s="1890"/>
      <c r="K34" s="1890"/>
      <c r="L34" s="1890"/>
      <c r="M34" s="1890"/>
      <c r="N34" s="1890"/>
      <c r="O34" s="1890"/>
      <c r="P34" s="1890"/>
      <c r="Q34" s="1890"/>
      <c r="R34" s="1890"/>
      <c r="S34" s="1890"/>
      <c r="T34" s="1890"/>
      <c r="U34" s="1890"/>
      <c r="V34" s="1890"/>
      <c r="W34" s="1890"/>
      <c r="X34" s="1890"/>
      <c r="Y34" s="1890"/>
      <c r="Z34" s="1890"/>
      <c r="AA34" s="1890"/>
      <c r="AB34" s="1890"/>
      <c r="AC34" s="1890"/>
      <c r="AD34" s="1890"/>
      <c r="AE34" s="1890"/>
      <c r="AF34" s="1890"/>
      <c r="AG34" s="1890"/>
      <c r="AH34" s="1890"/>
      <c r="AI34" s="1890"/>
      <c r="AJ34" s="1890"/>
      <c r="AK34" s="1890"/>
      <c r="AL34" s="1891"/>
      <c r="AM34" s="1880"/>
      <c r="AN34" s="1881"/>
      <c r="AO34" s="1881"/>
      <c r="AP34" s="1881"/>
      <c r="AQ34" s="1881"/>
      <c r="AR34" s="1881"/>
      <c r="AS34" s="1881"/>
      <c r="AT34" s="1881"/>
      <c r="AU34" s="1881"/>
      <c r="AV34" s="1881"/>
      <c r="AW34" s="1881"/>
      <c r="AX34" s="1881"/>
      <c r="AY34" s="1881"/>
      <c r="AZ34" s="1882"/>
      <c r="BB34" s="1883"/>
      <c r="BC34" s="1884"/>
      <c r="BD34" s="1885"/>
      <c r="BE34" s="1892"/>
      <c r="BF34" s="1893"/>
      <c r="BG34" s="1893"/>
      <c r="BH34" s="1893"/>
      <c r="BI34" s="1893"/>
      <c r="BJ34" s="1893"/>
      <c r="BK34" s="1893"/>
      <c r="BL34" s="1893"/>
      <c r="BM34" s="1893"/>
      <c r="BN34" s="1893"/>
      <c r="BO34" s="1893"/>
      <c r="BP34" s="1893"/>
      <c r="BQ34" s="1893"/>
      <c r="BR34" s="1893"/>
      <c r="BS34" s="1893"/>
      <c r="BT34" s="1893"/>
      <c r="BU34" s="1893"/>
      <c r="BV34" s="1893"/>
      <c r="BW34" s="1893"/>
      <c r="BX34" s="1893"/>
      <c r="BY34" s="1893"/>
      <c r="BZ34" s="1893"/>
      <c r="CA34" s="1893"/>
      <c r="CB34" s="1893"/>
      <c r="CC34" s="1893"/>
      <c r="CD34" s="1893"/>
      <c r="CE34" s="1893"/>
      <c r="CF34" s="1893"/>
      <c r="CG34" s="1893"/>
      <c r="CH34" s="1893"/>
      <c r="CI34" s="1893"/>
      <c r="CJ34" s="1893"/>
      <c r="CK34" s="1893"/>
      <c r="CL34" s="1893"/>
      <c r="CM34" s="1893"/>
      <c r="CN34" s="1893"/>
      <c r="CO34" s="1893"/>
      <c r="CP34" s="1893"/>
      <c r="CQ34" s="1893"/>
      <c r="CR34" s="1893"/>
      <c r="CS34" s="1893"/>
      <c r="CT34" s="1893"/>
      <c r="CU34" s="1893"/>
      <c r="CV34" s="1893"/>
      <c r="CW34" s="1893"/>
      <c r="CX34" s="1893"/>
      <c r="CY34" s="1893"/>
      <c r="CZ34" s="1893"/>
      <c r="DA34" s="1894"/>
    </row>
    <row r="35" spans="1:105" ht="13.5" thickBot="1">
      <c r="A35" s="1865"/>
      <c r="B35" s="1866"/>
      <c r="C35" s="1867"/>
      <c r="D35" s="1892"/>
      <c r="E35" s="1893"/>
      <c r="F35" s="1893"/>
      <c r="G35" s="1893"/>
      <c r="H35" s="1893"/>
      <c r="I35" s="1893"/>
      <c r="J35" s="1893"/>
      <c r="K35" s="1893"/>
      <c r="L35" s="1893"/>
      <c r="M35" s="1893"/>
      <c r="N35" s="1893"/>
      <c r="O35" s="1893"/>
      <c r="P35" s="1893"/>
      <c r="Q35" s="1893"/>
      <c r="R35" s="1893"/>
      <c r="S35" s="1893"/>
      <c r="T35" s="1893"/>
      <c r="U35" s="1893"/>
      <c r="V35" s="1893"/>
      <c r="W35" s="1893"/>
      <c r="X35" s="1893"/>
      <c r="Y35" s="1893"/>
      <c r="Z35" s="1893"/>
      <c r="AA35" s="1893"/>
      <c r="AB35" s="1893"/>
      <c r="AC35" s="1893"/>
      <c r="AD35" s="1893"/>
      <c r="AE35" s="1893"/>
      <c r="AF35" s="1893"/>
      <c r="AG35" s="1893"/>
      <c r="AH35" s="1893"/>
      <c r="AI35" s="1893"/>
      <c r="AJ35" s="1893"/>
      <c r="AK35" s="1893"/>
      <c r="AL35" s="1894"/>
      <c r="AM35" s="1883"/>
      <c r="AN35" s="1884"/>
      <c r="AO35" s="1884"/>
      <c r="AP35" s="1884"/>
      <c r="AQ35" s="1884"/>
      <c r="AR35" s="1884"/>
      <c r="AS35" s="1884"/>
      <c r="AT35" s="1884"/>
      <c r="AU35" s="1884"/>
      <c r="AV35" s="1884"/>
      <c r="AW35" s="1884"/>
      <c r="AX35" s="1884"/>
      <c r="AY35" s="1884"/>
      <c r="AZ35" s="1885"/>
      <c r="BB35" s="1877" t="s">
        <v>221</v>
      </c>
      <c r="BC35" s="1878"/>
      <c r="BD35" s="1879"/>
      <c r="BE35" s="1886" t="s">
        <v>1356</v>
      </c>
      <c r="BF35" s="1887"/>
      <c r="BG35" s="1887"/>
      <c r="BH35" s="1887"/>
      <c r="BI35" s="1887"/>
      <c r="BJ35" s="1887"/>
      <c r="BK35" s="1887"/>
      <c r="BL35" s="1887"/>
      <c r="BM35" s="1887"/>
      <c r="BN35" s="1887"/>
      <c r="BO35" s="1887"/>
      <c r="BP35" s="1887"/>
      <c r="BQ35" s="1887"/>
      <c r="BR35" s="1887"/>
      <c r="BS35" s="1887"/>
      <c r="BT35" s="1887"/>
      <c r="BU35" s="1887"/>
      <c r="BV35" s="1887"/>
      <c r="BW35" s="1887"/>
      <c r="BX35" s="1887"/>
      <c r="BY35" s="1887"/>
      <c r="BZ35" s="1887"/>
      <c r="CA35" s="1887"/>
      <c r="CB35" s="1887"/>
      <c r="CC35" s="1887"/>
      <c r="CD35" s="1887"/>
      <c r="CE35" s="1887"/>
      <c r="CF35" s="1887"/>
      <c r="CG35" s="1887"/>
      <c r="CH35" s="1887"/>
      <c r="CI35" s="1887"/>
      <c r="CJ35" s="1887"/>
      <c r="CK35" s="1887"/>
      <c r="CL35" s="1887"/>
      <c r="CM35" s="1887"/>
      <c r="CN35" s="1887"/>
      <c r="CO35" s="1887"/>
      <c r="CP35" s="1887"/>
      <c r="CQ35" s="1887"/>
      <c r="CR35" s="1887"/>
      <c r="CS35" s="1887"/>
      <c r="CT35" s="1887"/>
      <c r="CU35" s="1887"/>
      <c r="CV35" s="1887"/>
      <c r="CW35" s="1887"/>
      <c r="CX35" s="1887"/>
      <c r="CY35" s="1887"/>
      <c r="CZ35" s="1887"/>
      <c r="DA35" s="1888"/>
    </row>
    <row r="36" spans="1:105">
      <c r="A36" s="1859">
        <v>5</v>
      </c>
      <c r="B36" s="1860"/>
      <c r="C36" s="1861"/>
      <c r="D36" s="1868" t="s">
        <v>1277</v>
      </c>
      <c r="E36" s="1869"/>
      <c r="F36" s="1869"/>
      <c r="G36" s="1869"/>
      <c r="H36" s="1869"/>
      <c r="I36" s="1869"/>
      <c r="J36" s="1869"/>
      <c r="K36" s="1869"/>
      <c r="L36" s="1869"/>
      <c r="M36" s="1869"/>
      <c r="N36" s="1869"/>
      <c r="O36" s="1869"/>
      <c r="P36" s="1869"/>
      <c r="Q36" s="1869"/>
      <c r="R36" s="1869"/>
      <c r="S36" s="1869"/>
      <c r="T36" s="1869"/>
      <c r="U36" s="1869"/>
      <c r="V36" s="1869"/>
      <c r="W36" s="1869"/>
      <c r="X36" s="1869"/>
      <c r="Y36" s="1869"/>
      <c r="Z36" s="1869"/>
      <c r="AA36" s="1869"/>
      <c r="AB36" s="1869"/>
      <c r="AC36" s="1869"/>
      <c r="AD36" s="1869"/>
      <c r="AE36" s="1869"/>
      <c r="AF36" s="1869"/>
      <c r="AG36" s="1869"/>
      <c r="AH36" s="1869"/>
      <c r="AI36" s="1869"/>
      <c r="AJ36" s="1869"/>
      <c r="AK36" s="1869"/>
      <c r="AL36" s="1870"/>
      <c r="AM36" s="1859" t="s">
        <v>180</v>
      </c>
      <c r="AN36" s="1860"/>
      <c r="AO36" s="1860"/>
      <c r="AP36" s="1860"/>
      <c r="AQ36" s="1860"/>
      <c r="AR36" s="1860"/>
      <c r="AS36" s="1860"/>
      <c r="AT36" s="1860"/>
      <c r="AU36" s="1860"/>
      <c r="AV36" s="1860"/>
      <c r="AW36" s="1860"/>
      <c r="AX36" s="1860"/>
      <c r="AY36" s="1860"/>
      <c r="AZ36" s="1861"/>
      <c r="BB36" s="1880"/>
      <c r="BC36" s="1881"/>
      <c r="BD36" s="1882"/>
      <c r="BE36" s="1889"/>
      <c r="BF36" s="1890"/>
      <c r="BG36" s="1890"/>
      <c r="BH36" s="1890"/>
      <c r="BI36" s="1890"/>
      <c r="BJ36" s="1890"/>
      <c r="BK36" s="1890"/>
      <c r="BL36" s="1890"/>
      <c r="BM36" s="1890"/>
      <c r="BN36" s="1890"/>
      <c r="BO36" s="1890"/>
      <c r="BP36" s="1890"/>
      <c r="BQ36" s="1890"/>
      <c r="BR36" s="1890"/>
      <c r="BS36" s="1890"/>
      <c r="BT36" s="1890"/>
      <c r="BU36" s="1890"/>
      <c r="BV36" s="1890"/>
      <c r="BW36" s="1890"/>
      <c r="BX36" s="1890"/>
      <c r="BY36" s="1890"/>
      <c r="BZ36" s="1890"/>
      <c r="CA36" s="1890"/>
      <c r="CB36" s="1890"/>
      <c r="CC36" s="1890"/>
      <c r="CD36" s="1890"/>
      <c r="CE36" s="1890"/>
      <c r="CF36" s="1890"/>
      <c r="CG36" s="1890"/>
      <c r="CH36" s="1890"/>
      <c r="CI36" s="1890"/>
      <c r="CJ36" s="1890"/>
      <c r="CK36" s="1890"/>
      <c r="CL36" s="1890"/>
      <c r="CM36" s="1890"/>
      <c r="CN36" s="1890"/>
      <c r="CO36" s="1890"/>
      <c r="CP36" s="1890"/>
      <c r="CQ36" s="1890"/>
      <c r="CR36" s="1890"/>
      <c r="CS36" s="1890"/>
      <c r="CT36" s="1890"/>
      <c r="CU36" s="1890"/>
      <c r="CV36" s="1890"/>
      <c r="CW36" s="1890"/>
      <c r="CX36" s="1890"/>
      <c r="CY36" s="1890"/>
      <c r="CZ36" s="1890"/>
      <c r="DA36" s="1891"/>
    </row>
    <row r="37" spans="1:105" ht="13.5" thickBot="1">
      <c r="A37" s="1862"/>
      <c r="B37" s="1863"/>
      <c r="C37" s="1864"/>
      <c r="D37" s="1871"/>
      <c r="E37" s="1872"/>
      <c r="F37" s="1872"/>
      <c r="G37" s="1872"/>
      <c r="H37" s="1872"/>
      <c r="I37" s="1872"/>
      <c r="J37" s="1872"/>
      <c r="K37" s="1872"/>
      <c r="L37" s="1872"/>
      <c r="M37" s="1872"/>
      <c r="N37" s="1872"/>
      <c r="O37" s="1872"/>
      <c r="P37" s="1872"/>
      <c r="Q37" s="1872"/>
      <c r="R37" s="1872"/>
      <c r="S37" s="1872"/>
      <c r="T37" s="1872"/>
      <c r="U37" s="1872"/>
      <c r="V37" s="1872"/>
      <c r="W37" s="1872"/>
      <c r="X37" s="1872"/>
      <c r="Y37" s="1872"/>
      <c r="Z37" s="1872"/>
      <c r="AA37" s="1872"/>
      <c r="AB37" s="1872"/>
      <c r="AC37" s="1872"/>
      <c r="AD37" s="1872"/>
      <c r="AE37" s="1872"/>
      <c r="AF37" s="1872"/>
      <c r="AG37" s="1872"/>
      <c r="AH37" s="1872"/>
      <c r="AI37" s="1872"/>
      <c r="AJ37" s="1872"/>
      <c r="AK37" s="1872"/>
      <c r="AL37" s="1873"/>
      <c r="AM37" s="1862"/>
      <c r="AN37" s="1863"/>
      <c r="AO37" s="1863"/>
      <c r="AP37" s="1863"/>
      <c r="AQ37" s="1863"/>
      <c r="AR37" s="1863"/>
      <c r="AS37" s="1863"/>
      <c r="AT37" s="1863"/>
      <c r="AU37" s="1863"/>
      <c r="AV37" s="1863"/>
      <c r="AW37" s="1863"/>
      <c r="AX37" s="1863"/>
      <c r="AY37" s="1863"/>
      <c r="AZ37" s="1864"/>
      <c r="BB37" s="1883"/>
      <c r="BC37" s="1884"/>
      <c r="BD37" s="1885"/>
      <c r="BE37" s="1892"/>
      <c r="BF37" s="1893"/>
      <c r="BG37" s="1893"/>
      <c r="BH37" s="1893"/>
      <c r="BI37" s="1893"/>
      <c r="BJ37" s="1893"/>
      <c r="BK37" s="1893"/>
      <c r="BL37" s="1893"/>
      <c r="BM37" s="1893"/>
      <c r="BN37" s="1893"/>
      <c r="BO37" s="1893"/>
      <c r="BP37" s="1893"/>
      <c r="BQ37" s="1893"/>
      <c r="BR37" s="1893"/>
      <c r="BS37" s="1893"/>
      <c r="BT37" s="1893"/>
      <c r="BU37" s="1893"/>
      <c r="BV37" s="1893"/>
      <c r="BW37" s="1893"/>
      <c r="BX37" s="1893"/>
      <c r="BY37" s="1893"/>
      <c r="BZ37" s="1893"/>
      <c r="CA37" s="1893"/>
      <c r="CB37" s="1893"/>
      <c r="CC37" s="1893"/>
      <c r="CD37" s="1893"/>
      <c r="CE37" s="1893"/>
      <c r="CF37" s="1893"/>
      <c r="CG37" s="1893"/>
      <c r="CH37" s="1893"/>
      <c r="CI37" s="1893"/>
      <c r="CJ37" s="1893"/>
      <c r="CK37" s="1893"/>
      <c r="CL37" s="1893"/>
      <c r="CM37" s="1893"/>
      <c r="CN37" s="1893"/>
      <c r="CO37" s="1893"/>
      <c r="CP37" s="1893"/>
      <c r="CQ37" s="1893"/>
      <c r="CR37" s="1893"/>
      <c r="CS37" s="1893"/>
      <c r="CT37" s="1893"/>
      <c r="CU37" s="1893"/>
      <c r="CV37" s="1893"/>
      <c r="CW37" s="1893"/>
      <c r="CX37" s="1893"/>
      <c r="CY37" s="1893"/>
      <c r="CZ37" s="1893"/>
      <c r="DA37" s="1894"/>
    </row>
    <row r="38" spans="1:105">
      <c r="A38" s="1862"/>
      <c r="B38" s="1863"/>
      <c r="C38" s="1864"/>
      <c r="D38" s="1871"/>
      <c r="E38" s="1872"/>
      <c r="F38" s="1872"/>
      <c r="G38" s="1872"/>
      <c r="H38" s="1872"/>
      <c r="I38" s="1872"/>
      <c r="J38" s="1872"/>
      <c r="K38" s="1872"/>
      <c r="L38" s="1872"/>
      <c r="M38" s="1872"/>
      <c r="N38" s="1872"/>
      <c r="O38" s="1872"/>
      <c r="P38" s="1872"/>
      <c r="Q38" s="1872"/>
      <c r="R38" s="1872"/>
      <c r="S38" s="1872"/>
      <c r="T38" s="1872"/>
      <c r="U38" s="1872"/>
      <c r="V38" s="1872"/>
      <c r="W38" s="1872"/>
      <c r="X38" s="1872"/>
      <c r="Y38" s="1872"/>
      <c r="Z38" s="1872"/>
      <c r="AA38" s="1872"/>
      <c r="AB38" s="1872"/>
      <c r="AC38" s="1872"/>
      <c r="AD38" s="1872"/>
      <c r="AE38" s="1872"/>
      <c r="AF38" s="1872"/>
      <c r="AG38" s="1872"/>
      <c r="AH38" s="1872"/>
      <c r="AI38" s="1872"/>
      <c r="AJ38" s="1872"/>
      <c r="AK38" s="1872"/>
      <c r="AL38" s="1873"/>
      <c r="AM38" s="1862"/>
      <c r="AN38" s="1863"/>
      <c r="AO38" s="1863"/>
      <c r="AP38" s="1863"/>
      <c r="AQ38" s="1863"/>
      <c r="AR38" s="1863"/>
      <c r="AS38" s="1863"/>
      <c r="AT38" s="1863"/>
      <c r="AU38" s="1863"/>
      <c r="AV38" s="1863"/>
      <c r="AW38" s="1863"/>
      <c r="AX38" s="1863"/>
      <c r="AY38" s="1863"/>
      <c r="AZ38" s="1864"/>
      <c r="BB38" s="1877" t="s">
        <v>184</v>
      </c>
      <c r="BC38" s="1878"/>
      <c r="BD38" s="1879"/>
      <c r="BE38" s="1886" t="s">
        <v>1357</v>
      </c>
      <c r="BF38" s="1887"/>
      <c r="BG38" s="1887"/>
      <c r="BH38" s="1887"/>
      <c r="BI38" s="1887"/>
      <c r="BJ38" s="1887"/>
      <c r="BK38" s="1887"/>
      <c r="BL38" s="1887"/>
      <c r="BM38" s="1887"/>
      <c r="BN38" s="1887"/>
      <c r="BO38" s="1887"/>
      <c r="BP38" s="1887"/>
      <c r="BQ38" s="1887"/>
      <c r="BR38" s="1887"/>
      <c r="BS38" s="1887"/>
      <c r="BT38" s="1887"/>
      <c r="BU38" s="1887"/>
      <c r="BV38" s="1887"/>
      <c r="BW38" s="1887"/>
      <c r="BX38" s="1887"/>
      <c r="BY38" s="1887"/>
      <c r="BZ38" s="1887"/>
      <c r="CA38" s="1887"/>
      <c r="CB38" s="1887"/>
      <c r="CC38" s="1887"/>
      <c r="CD38" s="1887"/>
      <c r="CE38" s="1887"/>
      <c r="CF38" s="1887"/>
      <c r="CG38" s="1887"/>
      <c r="CH38" s="1887"/>
      <c r="CI38" s="1887"/>
      <c r="CJ38" s="1887"/>
      <c r="CK38" s="1887"/>
      <c r="CL38" s="1887"/>
      <c r="CM38" s="1887"/>
      <c r="CN38" s="1887"/>
      <c r="CO38" s="1887"/>
      <c r="CP38" s="1887"/>
      <c r="CQ38" s="1887"/>
      <c r="CR38" s="1887"/>
      <c r="CS38" s="1887"/>
      <c r="CT38" s="1887"/>
      <c r="CU38" s="1887"/>
      <c r="CV38" s="1887"/>
      <c r="CW38" s="1887"/>
      <c r="CX38" s="1887"/>
      <c r="CY38" s="1887"/>
      <c r="CZ38" s="1887"/>
      <c r="DA38" s="1888"/>
    </row>
    <row r="39" spans="1:105">
      <c r="A39" s="1862"/>
      <c r="B39" s="1863"/>
      <c r="C39" s="1864"/>
      <c r="D39" s="1871"/>
      <c r="E39" s="1872"/>
      <c r="F39" s="1872"/>
      <c r="G39" s="1872"/>
      <c r="H39" s="1872"/>
      <c r="I39" s="1872"/>
      <c r="J39" s="1872"/>
      <c r="K39" s="1872"/>
      <c r="L39" s="1872"/>
      <c r="M39" s="1872"/>
      <c r="N39" s="1872"/>
      <c r="O39" s="1872"/>
      <c r="P39" s="1872"/>
      <c r="Q39" s="1872"/>
      <c r="R39" s="1872"/>
      <c r="S39" s="1872"/>
      <c r="T39" s="1872"/>
      <c r="U39" s="1872"/>
      <c r="V39" s="1872"/>
      <c r="W39" s="1872"/>
      <c r="X39" s="1872"/>
      <c r="Y39" s="1872"/>
      <c r="Z39" s="1872"/>
      <c r="AA39" s="1872"/>
      <c r="AB39" s="1872"/>
      <c r="AC39" s="1872"/>
      <c r="AD39" s="1872"/>
      <c r="AE39" s="1872"/>
      <c r="AF39" s="1872"/>
      <c r="AG39" s="1872"/>
      <c r="AH39" s="1872"/>
      <c r="AI39" s="1872"/>
      <c r="AJ39" s="1872"/>
      <c r="AK39" s="1872"/>
      <c r="AL39" s="1873"/>
      <c r="AM39" s="1862"/>
      <c r="AN39" s="1863"/>
      <c r="AO39" s="1863"/>
      <c r="AP39" s="1863"/>
      <c r="AQ39" s="1863"/>
      <c r="AR39" s="1863"/>
      <c r="AS39" s="1863"/>
      <c r="AT39" s="1863"/>
      <c r="AU39" s="1863"/>
      <c r="AV39" s="1863"/>
      <c r="AW39" s="1863"/>
      <c r="AX39" s="1863"/>
      <c r="AY39" s="1863"/>
      <c r="AZ39" s="1864"/>
      <c r="BB39" s="1880"/>
      <c r="BC39" s="1881"/>
      <c r="BD39" s="1882"/>
      <c r="BE39" s="1889"/>
      <c r="BF39" s="1890"/>
      <c r="BG39" s="1890"/>
      <c r="BH39" s="1890"/>
      <c r="BI39" s="1890"/>
      <c r="BJ39" s="1890"/>
      <c r="BK39" s="1890"/>
      <c r="BL39" s="1890"/>
      <c r="BM39" s="1890"/>
      <c r="BN39" s="1890"/>
      <c r="BO39" s="1890"/>
      <c r="BP39" s="1890"/>
      <c r="BQ39" s="1890"/>
      <c r="BR39" s="1890"/>
      <c r="BS39" s="1890"/>
      <c r="BT39" s="1890"/>
      <c r="BU39" s="1890"/>
      <c r="BV39" s="1890"/>
      <c r="BW39" s="1890"/>
      <c r="BX39" s="1890"/>
      <c r="BY39" s="1890"/>
      <c r="BZ39" s="1890"/>
      <c r="CA39" s="1890"/>
      <c r="CB39" s="1890"/>
      <c r="CC39" s="1890"/>
      <c r="CD39" s="1890"/>
      <c r="CE39" s="1890"/>
      <c r="CF39" s="1890"/>
      <c r="CG39" s="1890"/>
      <c r="CH39" s="1890"/>
      <c r="CI39" s="1890"/>
      <c r="CJ39" s="1890"/>
      <c r="CK39" s="1890"/>
      <c r="CL39" s="1890"/>
      <c r="CM39" s="1890"/>
      <c r="CN39" s="1890"/>
      <c r="CO39" s="1890"/>
      <c r="CP39" s="1890"/>
      <c r="CQ39" s="1890"/>
      <c r="CR39" s="1890"/>
      <c r="CS39" s="1890"/>
      <c r="CT39" s="1890"/>
      <c r="CU39" s="1890"/>
      <c r="CV39" s="1890"/>
      <c r="CW39" s="1890"/>
      <c r="CX39" s="1890"/>
      <c r="CY39" s="1890"/>
      <c r="CZ39" s="1890"/>
      <c r="DA39" s="1891"/>
    </row>
    <row r="40" spans="1:105" ht="21" customHeight="1" thickBot="1">
      <c r="A40" s="1865"/>
      <c r="B40" s="1866"/>
      <c r="C40" s="1867"/>
      <c r="D40" s="1874"/>
      <c r="E40" s="1875"/>
      <c r="F40" s="1875"/>
      <c r="G40" s="1875"/>
      <c r="H40" s="1875"/>
      <c r="I40" s="1875"/>
      <c r="J40" s="1875"/>
      <c r="K40" s="1875"/>
      <c r="L40" s="1875"/>
      <c r="M40" s="1875"/>
      <c r="N40" s="1875"/>
      <c r="O40" s="1875"/>
      <c r="P40" s="1875"/>
      <c r="Q40" s="1875"/>
      <c r="R40" s="1875"/>
      <c r="S40" s="1875"/>
      <c r="T40" s="1875"/>
      <c r="U40" s="1875"/>
      <c r="V40" s="1875"/>
      <c r="W40" s="1875"/>
      <c r="X40" s="1875"/>
      <c r="Y40" s="1875"/>
      <c r="Z40" s="1875"/>
      <c r="AA40" s="1875"/>
      <c r="AB40" s="1875"/>
      <c r="AC40" s="1875"/>
      <c r="AD40" s="1875"/>
      <c r="AE40" s="1875"/>
      <c r="AF40" s="1875"/>
      <c r="AG40" s="1875"/>
      <c r="AH40" s="1875"/>
      <c r="AI40" s="1875"/>
      <c r="AJ40" s="1875"/>
      <c r="AK40" s="1875"/>
      <c r="AL40" s="1876"/>
      <c r="AM40" s="1865"/>
      <c r="AN40" s="1866"/>
      <c r="AO40" s="1866"/>
      <c r="AP40" s="1866"/>
      <c r="AQ40" s="1866"/>
      <c r="AR40" s="1866"/>
      <c r="AS40" s="1866"/>
      <c r="AT40" s="1866"/>
      <c r="AU40" s="1866"/>
      <c r="AV40" s="1866"/>
      <c r="AW40" s="1866"/>
      <c r="AX40" s="1866"/>
      <c r="AY40" s="1866"/>
      <c r="AZ40" s="1867"/>
      <c r="BB40" s="1883"/>
      <c r="BC40" s="1884"/>
      <c r="BD40" s="1885"/>
      <c r="BE40" s="1892"/>
      <c r="BF40" s="1893"/>
      <c r="BG40" s="1893"/>
      <c r="BH40" s="1893"/>
      <c r="BI40" s="1893"/>
      <c r="BJ40" s="1893"/>
      <c r="BK40" s="1893"/>
      <c r="BL40" s="1893"/>
      <c r="BM40" s="1893"/>
      <c r="BN40" s="1893"/>
      <c r="BO40" s="1893"/>
      <c r="BP40" s="1893"/>
      <c r="BQ40" s="1893"/>
      <c r="BR40" s="1893"/>
      <c r="BS40" s="1893"/>
      <c r="BT40" s="1893"/>
      <c r="BU40" s="1893"/>
      <c r="BV40" s="1893"/>
      <c r="BW40" s="1893"/>
      <c r="BX40" s="1893"/>
      <c r="BY40" s="1893"/>
      <c r="BZ40" s="1893"/>
      <c r="CA40" s="1893"/>
      <c r="CB40" s="1893"/>
      <c r="CC40" s="1893"/>
      <c r="CD40" s="1893"/>
      <c r="CE40" s="1893"/>
      <c r="CF40" s="1893"/>
      <c r="CG40" s="1893"/>
      <c r="CH40" s="1893"/>
      <c r="CI40" s="1893"/>
      <c r="CJ40" s="1893"/>
      <c r="CK40" s="1893"/>
      <c r="CL40" s="1893"/>
      <c r="CM40" s="1893"/>
      <c r="CN40" s="1893"/>
      <c r="CO40" s="1893"/>
      <c r="CP40" s="1893"/>
      <c r="CQ40" s="1893"/>
      <c r="CR40" s="1893"/>
      <c r="CS40" s="1893"/>
      <c r="CT40" s="1893"/>
      <c r="CU40" s="1893"/>
      <c r="CV40" s="1893"/>
      <c r="CW40" s="1893"/>
      <c r="CX40" s="1893"/>
      <c r="CY40" s="1893"/>
      <c r="CZ40" s="1893"/>
      <c r="DA40" s="1894"/>
    </row>
    <row r="41" spans="1:105">
      <c r="A41" s="1859">
        <v>6</v>
      </c>
      <c r="B41" s="1860"/>
      <c r="C41" s="1861"/>
      <c r="D41" s="1868" t="s">
        <v>1278</v>
      </c>
      <c r="E41" s="1869"/>
      <c r="F41" s="1869"/>
      <c r="G41" s="1869"/>
      <c r="H41" s="1869"/>
      <c r="I41" s="1869"/>
      <c r="J41" s="1869"/>
      <c r="K41" s="1869"/>
      <c r="L41" s="1869"/>
      <c r="M41" s="1869"/>
      <c r="N41" s="1869"/>
      <c r="O41" s="1869"/>
      <c r="P41" s="1869"/>
      <c r="Q41" s="1869"/>
      <c r="R41" s="1869"/>
      <c r="S41" s="1869"/>
      <c r="T41" s="1869"/>
      <c r="U41" s="1869"/>
      <c r="V41" s="1869"/>
      <c r="W41" s="1869"/>
      <c r="X41" s="1869"/>
      <c r="Y41" s="1869"/>
      <c r="Z41" s="1869"/>
      <c r="AA41" s="1869"/>
      <c r="AB41" s="1869"/>
      <c r="AC41" s="1869"/>
      <c r="AD41" s="1869"/>
      <c r="AE41" s="1869"/>
      <c r="AF41" s="1869"/>
      <c r="AG41" s="1869"/>
      <c r="AH41" s="1869"/>
      <c r="AI41" s="1869"/>
      <c r="AJ41" s="1869"/>
      <c r="AK41" s="1869"/>
      <c r="AL41" s="1870"/>
      <c r="AM41" s="1877" t="s">
        <v>194</v>
      </c>
      <c r="AN41" s="1878"/>
      <c r="AO41" s="1878"/>
      <c r="AP41" s="1878"/>
      <c r="AQ41" s="1878"/>
      <c r="AR41" s="1878"/>
      <c r="AS41" s="1878"/>
      <c r="AT41" s="1878"/>
      <c r="AU41" s="1878"/>
      <c r="AV41" s="1878"/>
      <c r="AW41" s="1878"/>
      <c r="AX41" s="1878"/>
      <c r="AY41" s="1878"/>
      <c r="AZ41" s="1879"/>
      <c r="BB41" s="1877" t="s">
        <v>193</v>
      </c>
      <c r="BC41" s="1878"/>
      <c r="BD41" s="1879"/>
      <c r="BE41" s="1886" t="s">
        <v>1358</v>
      </c>
      <c r="BF41" s="1887"/>
      <c r="BG41" s="1887"/>
      <c r="BH41" s="1887"/>
      <c r="BI41" s="1887"/>
      <c r="BJ41" s="1887"/>
      <c r="BK41" s="1887"/>
      <c r="BL41" s="1887"/>
      <c r="BM41" s="1887"/>
      <c r="BN41" s="1887"/>
      <c r="BO41" s="1887"/>
      <c r="BP41" s="1887"/>
      <c r="BQ41" s="1887"/>
      <c r="BR41" s="1887"/>
      <c r="BS41" s="1887"/>
      <c r="BT41" s="1887"/>
      <c r="BU41" s="1887"/>
      <c r="BV41" s="1887"/>
      <c r="BW41" s="1887"/>
      <c r="BX41" s="1887"/>
      <c r="BY41" s="1887"/>
      <c r="BZ41" s="1887"/>
      <c r="CA41" s="1887"/>
      <c r="CB41" s="1887"/>
      <c r="CC41" s="1887"/>
      <c r="CD41" s="1887"/>
      <c r="CE41" s="1887"/>
      <c r="CF41" s="1887"/>
      <c r="CG41" s="1887"/>
      <c r="CH41" s="1887"/>
      <c r="CI41" s="1887"/>
      <c r="CJ41" s="1887"/>
      <c r="CK41" s="1887"/>
      <c r="CL41" s="1887"/>
      <c r="CM41" s="1887"/>
      <c r="CN41" s="1887"/>
      <c r="CO41" s="1887"/>
      <c r="CP41" s="1887"/>
      <c r="CQ41" s="1887"/>
      <c r="CR41" s="1887"/>
      <c r="CS41" s="1887"/>
      <c r="CT41" s="1887"/>
      <c r="CU41" s="1887"/>
      <c r="CV41" s="1887"/>
      <c r="CW41" s="1887"/>
      <c r="CX41" s="1887"/>
      <c r="CY41" s="1887"/>
      <c r="CZ41" s="1887"/>
      <c r="DA41" s="1888"/>
    </row>
    <row r="42" spans="1:105">
      <c r="A42" s="1862"/>
      <c r="B42" s="1863"/>
      <c r="C42" s="1864"/>
      <c r="D42" s="1871"/>
      <c r="E42" s="1872"/>
      <c r="F42" s="1872"/>
      <c r="G42" s="1872"/>
      <c r="H42" s="1872"/>
      <c r="I42" s="1872"/>
      <c r="J42" s="1872"/>
      <c r="K42" s="1872"/>
      <c r="L42" s="1872"/>
      <c r="M42" s="1872"/>
      <c r="N42" s="1872"/>
      <c r="O42" s="1872"/>
      <c r="P42" s="1872"/>
      <c r="Q42" s="1872"/>
      <c r="R42" s="1872"/>
      <c r="S42" s="1872"/>
      <c r="T42" s="1872"/>
      <c r="U42" s="1872"/>
      <c r="V42" s="1872"/>
      <c r="W42" s="1872"/>
      <c r="X42" s="1872"/>
      <c r="Y42" s="1872"/>
      <c r="Z42" s="1872"/>
      <c r="AA42" s="1872"/>
      <c r="AB42" s="1872"/>
      <c r="AC42" s="1872"/>
      <c r="AD42" s="1872"/>
      <c r="AE42" s="1872"/>
      <c r="AF42" s="1872"/>
      <c r="AG42" s="1872"/>
      <c r="AH42" s="1872"/>
      <c r="AI42" s="1872"/>
      <c r="AJ42" s="1872"/>
      <c r="AK42" s="1872"/>
      <c r="AL42" s="1873"/>
      <c r="AM42" s="1880"/>
      <c r="AN42" s="1881"/>
      <c r="AO42" s="1881"/>
      <c r="AP42" s="1881"/>
      <c r="AQ42" s="1881"/>
      <c r="AR42" s="1881"/>
      <c r="AS42" s="1881"/>
      <c r="AT42" s="1881"/>
      <c r="AU42" s="1881"/>
      <c r="AV42" s="1881"/>
      <c r="AW42" s="1881"/>
      <c r="AX42" s="1881"/>
      <c r="AY42" s="1881"/>
      <c r="AZ42" s="1882"/>
      <c r="BB42" s="1880"/>
      <c r="BC42" s="1881"/>
      <c r="BD42" s="1882"/>
      <c r="BE42" s="1889"/>
      <c r="BF42" s="1890"/>
      <c r="BG42" s="1890"/>
      <c r="BH42" s="1890"/>
      <c r="BI42" s="1890"/>
      <c r="BJ42" s="1890"/>
      <c r="BK42" s="1890"/>
      <c r="BL42" s="1890"/>
      <c r="BM42" s="1890"/>
      <c r="BN42" s="1890"/>
      <c r="BO42" s="1890"/>
      <c r="BP42" s="1890"/>
      <c r="BQ42" s="1890"/>
      <c r="BR42" s="1890"/>
      <c r="BS42" s="1890"/>
      <c r="BT42" s="1890"/>
      <c r="BU42" s="1890"/>
      <c r="BV42" s="1890"/>
      <c r="BW42" s="1890"/>
      <c r="BX42" s="1890"/>
      <c r="BY42" s="1890"/>
      <c r="BZ42" s="1890"/>
      <c r="CA42" s="1890"/>
      <c r="CB42" s="1890"/>
      <c r="CC42" s="1890"/>
      <c r="CD42" s="1890"/>
      <c r="CE42" s="1890"/>
      <c r="CF42" s="1890"/>
      <c r="CG42" s="1890"/>
      <c r="CH42" s="1890"/>
      <c r="CI42" s="1890"/>
      <c r="CJ42" s="1890"/>
      <c r="CK42" s="1890"/>
      <c r="CL42" s="1890"/>
      <c r="CM42" s="1890"/>
      <c r="CN42" s="1890"/>
      <c r="CO42" s="1890"/>
      <c r="CP42" s="1890"/>
      <c r="CQ42" s="1890"/>
      <c r="CR42" s="1890"/>
      <c r="CS42" s="1890"/>
      <c r="CT42" s="1890"/>
      <c r="CU42" s="1890"/>
      <c r="CV42" s="1890"/>
      <c r="CW42" s="1890"/>
      <c r="CX42" s="1890"/>
      <c r="CY42" s="1890"/>
      <c r="CZ42" s="1890"/>
      <c r="DA42" s="1891"/>
    </row>
    <row r="43" spans="1:105" ht="13.5" thickBot="1">
      <c r="A43" s="1862"/>
      <c r="B43" s="1863"/>
      <c r="C43" s="1864"/>
      <c r="D43" s="1871"/>
      <c r="E43" s="1872"/>
      <c r="F43" s="1872"/>
      <c r="G43" s="1872"/>
      <c r="H43" s="1872"/>
      <c r="I43" s="1872"/>
      <c r="J43" s="1872"/>
      <c r="K43" s="1872"/>
      <c r="L43" s="1872"/>
      <c r="M43" s="1872"/>
      <c r="N43" s="1872"/>
      <c r="O43" s="1872"/>
      <c r="P43" s="1872"/>
      <c r="Q43" s="1872"/>
      <c r="R43" s="1872"/>
      <c r="S43" s="1872"/>
      <c r="T43" s="1872"/>
      <c r="U43" s="1872"/>
      <c r="V43" s="1872"/>
      <c r="W43" s="1872"/>
      <c r="X43" s="1872"/>
      <c r="Y43" s="1872"/>
      <c r="Z43" s="1872"/>
      <c r="AA43" s="1872"/>
      <c r="AB43" s="1872"/>
      <c r="AC43" s="1872"/>
      <c r="AD43" s="1872"/>
      <c r="AE43" s="1872"/>
      <c r="AF43" s="1872"/>
      <c r="AG43" s="1872"/>
      <c r="AH43" s="1872"/>
      <c r="AI43" s="1872"/>
      <c r="AJ43" s="1872"/>
      <c r="AK43" s="1872"/>
      <c r="AL43" s="1873"/>
      <c r="AM43" s="1880"/>
      <c r="AN43" s="1881"/>
      <c r="AO43" s="1881"/>
      <c r="AP43" s="1881"/>
      <c r="AQ43" s="1881"/>
      <c r="AR43" s="1881"/>
      <c r="AS43" s="1881"/>
      <c r="AT43" s="1881"/>
      <c r="AU43" s="1881"/>
      <c r="AV43" s="1881"/>
      <c r="AW43" s="1881"/>
      <c r="AX43" s="1881"/>
      <c r="AY43" s="1881"/>
      <c r="AZ43" s="1882"/>
      <c r="BB43" s="1883"/>
      <c r="BC43" s="1884"/>
      <c r="BD43" s="1885"/>
      <c r="BE43" s="1892"/>
      <c r="BF43" s="1893"/>
      <c r="BG43" s="1893"/>
      <c r="BH43" s="1893"/>
      <c r="BI43" s="1893"/>
      <c r="BJ43" s="1893"/>
      <c r="BK43" s="1893"/>
      <c r="BL43" s="1893"/>
      <c r="BM43" s="1893"/>
      <c r="BN43" s="1893"/>
      <c r="BO43" s="1893"/>
      <c r="BP43" s="1893"/>
      <c r="BQ43" s="1893"/>
      <c r="BR43" s="1893"/>
      <c r="BS43" s="1893"/>
      <c r="BT43" s="1893"/>
      <c r="BU43" s="1893"/>
      <c r="BV43" s="1893"/>
      <c r="BW43" s="1893"/>
      <c r="BX43" s="1893"/>
      <c r="BY43" s="1893"/>
      <c r="BZ43" s="1893"/>
      <c r="CA43" s="1893"/>
      <c r="CB43" s="1893"/>
      <c r="CC43" s="1893"/>
      <c r="CD43" s="1893"/>
      <c r="CE43" s="1893"/>
      <c r="CF43" s="1893"/>
      <c r="CG43" s="1893"/>
      <c r="CH43" s="1893"/>
      <c r="CI43" s="1893"/>
      <c r="CJ43" s="1893"/>
      <c r="CK43" s="1893"/>
      <c r="CL43" s="1893"/>
      <c r="CM43" s="1893"/>
      <c r="CN43" s="1893"/>
      <c r="CO43" s="1893"/>
      <c r="CP43" s="1893"/>
      <c r="CQ43" s="1893"/>
      <c r="CR43" s="1893"/>
      <c r="CS43" s="1893"/>
      <c r="CT43" s="1893"/>
      <c r="CU43" s="1893"/>
      <c r="CV43" s="1893"/>
      <c r="CW43" s="1893"/>
      <c r="CX43" s="1893"/>
      <c r="CY43" s="1893"/>
      <c r="CZ43" s="1893"/>
      <c r="DA43" s="1894"/>
    </row>
    <row r="44" spans="1:105">
      <c r="A44" s="1862"/>
      <c r="B44" s="1863"/>
      <c r="C44" s="1864"/>
      <c r="D44" s="1871"/>
      <c r="E44" s="1872"/>
      <c r="F44" s="1872"/>
      <c r="G44" s="1872"/>
      <c r="H44" s="1872"/>
      <c r="I44" s="1872"/>
      <c r="J44" s="1872"/>
      <c r="K44" s="1872"/>
      <c r="L44" s="1872"/>
      <c r="M44" s="1872"/>
      <c r="N44" s="1872"/>
      <c r="O44" s="1872"/>
      <c r="P44" s="1872"/>
      <c r="Q44" s="1872"/>
      <c r="R44" s="1872"/>
      <c r="S44" s="1872"/>
      <c r="T44" s="1872"/>
      <c r="U44" s="1872"/>
      <c r="V44" s="1872"/>
      <c r="W44" s="1872"/>
      <c r="X44" s="1872"/>
      <c r="Y44" s="1872"/>
      <c r="Z44" s="1872"/>
      <c r="AA44" s="1872"/>
      <c r="AB44" s="1872"/>
      <c r="AC44" s="1872"/>
      <c r="AD44" s="1872"/>
      <c r="AE44" s="1872"/>
      <c r="AF44" s="1872"/>
      <c r="AG44" s="1872"/>
      <c r="AH44" s="1872"/>
      <c r="AI44" s="1872"/>
      <c r="AJ44" s="1872"/>
      <c r="AK44" s="1872"/>
      <c r="AL44" s="1873"/>
      <c r="AM44" s="1880"/>
      <c r="AN44" s="1881"/>
      <c r="AO44" s="1881"/>
      <c r="AP44" s="1881"/>
      <c r="AQ44" s="1881"/>
      <c r="AR44" s="1881"/>
      <c r="AS44" s="1881"/>
      <c r="AT44" s="1881"/>
      <c r="AU44" s="1881"/>
      <c r="AV44" s="1881"/>
      <c r="AW44" s="1881"/>
      <c r="AX44" s="1881"/>
      <c r="AY44" s="1881"/>
      <c r="AZ44" s="1882"/>
      <c r="BB44" s="1877" t="s">
        <v>222</v>
      </c>
      <c r="BC44" s="1878"/>
      <c r="BD44" s="1879"/>
      <c r="BE44" s="1886" t="s">
        <v>1359</v>
      </c>
      <c r="BF44" s="1887"/>
      <c r="BG44" s="1887"/>
      <c r="BH44" s="1887"/>
      <c r="BI44" s="1887"/>
      <c r="BJ44" s="1887"/>
      <c r="BK44" s="1887"/>
      <c r="BL44" s="1887"/>
      <c r="BM44" s="1887"/>
      <c r="BN44" s="1887"/>
      <c r="BO44" s="1887"/>
      <c r="BP44" s="1887"/>
      <c r="BQ44" s="1887"/>
      <c r="BR44" s="1887"/>
      <c r="BS44" s="1887"/>
      <c r="BT44" s="1887"/>
      <c r="BU44" s="1887"/>
      <c r="BV44" s="1887"/>
      <c r="BW44" s="1887"/>
      <c r="BX44" s="1887"/>
      <c r="BY44" s="1887"/>
      <c r="BZ44" s="1887"/>
      <c r="CA44" s="1887"/>
      <c r="CB44" s="1887"/>
      <c r="CC44" s="1887"/>
      <c r="CD44" s="1887"/>
      <c r="CE44" s="1887"/>
      <c r="CF44" s="1887"/>
      <c r="CG44" s="1887"/>
      <c r="CH44" s="1887"/>
      <c r="CI44" s="1887"/>
      <c r="CJ44" s="1887"/>
      <c r="CK44" s="1887"/>
      <c r="CL44" s="1887"/>
      <c r="CM44" s="1887"/>
      <c r="CN44" s="1887"/>
      <c r="CO44" s="1887"/>
      <c r="CP44" s="1887"/>
      <c r="CQ44" s="1887"/>
      <c r="CR44" s="1887"/>
      <c r="CS44" s="1887"/>
      <c r="CT44" s="1887"/>
      <c r="CU44" s="1887"/>
      <c r="CV44" s="1887"/>
      <c r="CW44" s="1887"/>
      <c r="CX44" s="1887"/>
      <c r="CY44" s="1887"/>
      <c r="CZ44" s="1887"/>
      <c r="DA44" s="1888"/>
    </row>
    <row r="45" spans="1:105" ht="18.75" customHeight="1" thickBot="1">
      <c r="A45" s="1865"/>
      <c r="B45" s="1866"/>
      <c r="C45" s="1867"/>
      <c r="D45" s="1874"/>
      <c r="E45" s="1875"/>
      <c r="F45" s="1875"/>
      <c r="G45" s="1875"/>
      <c r="H45" s="1875"/>
      <c r="I45" s="1875"/>
      <c r="J45" s="1875"/>
      <c r="K45" s="1875"/>
      <c r="L45" s="1875"/>
      <c r="M45" s="1875"/>
      <c r="N45" s="1875"/>
      <c r="O45" s="1875"/>
      <c r="P45" s="1875"/>
      <c r="Q45" s="1875"/>
      <c r="R45" s="1875"/>
      <c r="S45" s="1875"/>
      <c r="T45" s="1875"/>
      <c r="U45" s="1875"/>
      <c r="V45" s="1875"/>
      <c r="W45" s="1875"/>
      <c r="X45" s="1875"/>
      <c r="Y45" s="1875"/>
      <c r="Z45" s="1875"/>
      <c r="AA45" s="1875"/>
      <c r="AB45" s="1875"/>
      <c r="AC45" s="1875"/>
      <c r="AD45" s="1875"/>
      <c r="AE45" s="1875"/>
      <c r="AF45" s="1875"/>
      <c r="AG45" s="1875"/>
      <c r="AH45" s="1875"/>
      <c r="AI45" s="1875"/>
      <c r="AJ45" s="1875"/>
      <c r="AK45" s="1875"/>
      <c r="AL45" s="1876"/>
      <c r="AM45" s="1883"/>
      <c r="AN45" s="1884"/>
      <c r="AO45" s="1884"/>
      <c r="AP45" s="1884"/>
      <c r="AQ45" s="1884"/>
      <c r="AR45" s="1884"/>
      <c r="AS45" s="1884"/>
      <c r="AT45" s="1884"/>
      <c r="AU45" s="1884"/>
      <c r="AV45" s="1884"/>
      <c r="AW45" s="1884"/>
      <c r="AX45" s="1884"/>
      <c r="AY45" s="1884"/>
      <c r="AZ45" s="1885"/>
      <c r="BB45" s="1880"/>
      <c r="BC45" s="1881"/>
      <c r="BD45" s="1882"/>
      <c r="BE45" s="1889"/>
      <c r="BF45" s="1890"/>
      <c r="BG45" s="1890"/>
      <c r="BH45" s="1890"/>
      <c r="BI45" s="1890"/>
      <c r="BJ45" s="1890"/>
      <c r="BK45" s="1890"/>
      <c r="BL45" s="1890"/>
      <c r="BM45" s="1890"/>
      <c r="BN45" s="1890"/>
      <c r="BO45" s="1890"/>
      <c r="BP45" s="1890"/>
      <c r="BQ45" s="1890"/>
      <c r="BR45" s="1890"/>
      <c r="BS45" s="1890"/>
      <c r="BT45" s="1890"/>
      <c r="BU45" s="1890"/>
      <c r="BV45" s="1890"/>
      <c r="BW45" s="1890"/>
      <c r="BX45" s="1890"/>
      <c r="BY45" s="1890"/>
      <c r="BZ45" s="1890"/>
      <c r="CA45" s="1890"/>
      <c r="CB45" s="1890"/>
      <c r="CC45" s="1890"/>
      <c r="CD45" s="1890"/>
      <c r="CE45" s="1890"/>
      <c r="CF45" s="1890"/>
      <c r="CG45" s="1890"/>
      <c r="CH45" s="1890"/>
      <c r="CI45" s="1890"/>
      <c r="CJ45" s="1890"/>
      <c r="CK45" s="1890"/>
      <c r="CL45" s="1890"/>
      <c r="CM45" s="1890"/>
      <c r="CN45" s="1890"/>
      <c r="CO45" s="1890"/>
      <c r="CP45" s="1890"/>
      <c r="CQ45" s="1890"/>
      <c r="CR45" s="1890"/>
      <c r="CS45" s="1890"/>
      <c r="CT45" s="1890"/>
      <c r="CU45" s="1890"/>
      <c r="CV45" s="1890"/>
      <c r="CW45" s="1890"/>
      <c r="CX45" s="1890"/>
      <c r="CY45" s="1890"/>
      <c r="CZ45" s="1890"/>
      <c r="DA45" s="1891"/>
    </row>
    <row r="46" spans="1:105" ht="13.5" thickBot="1">
      <c r="A46" s="1859">
        <v>7</v>
      </c>
      <c r="B46" s="1860"/>
      <c r="C46" s="1861"/>
      <c r="D46" s="1886" t="s">
        <v>1279</v>
      </c>
      <c r="E46" s="1887"/>
      <c r="F46" s="1887"/>
      <c r="G46" s="1887"/>
      <c r="H46" s="1887"/>
      <c r="I46" s="1887"/>
      <c r="J46" s="1887"/>
      <c r="K46" s="1887"/>
      <c r="L46" s="1887"/>
      <c r="M46" s="1887"/>
      <c r="N46" s="1887"/>
      <c r="O46" s="1887"/>
      <c r="P46" s="1887"/>
      <c r="Q46" s="1887"/>
      <c r="R46" s="1887"/>
      <c r="S46" s="1887"/>
      <c r="T46" s="1887"/>
      <c r="U46" s="1887"/>
      <c r="V46" s="1887"/>
      <c r="W46" s="1887"/>
      <c r="X46" s="1887"/>
      <c r="Y46" s="1887"/>
      <c r="Z46" s="1887"/>
      <c r="AA46" s="1887"/>
      <c r="AB46" s="1887"/>
      <c r="AC46" s="1887"/>
      <c r="AD46" s="1887"/>
      <c r="AE46" s="1887"/>
      <c r="AF46" s="1887"/>
      <c r="AG46" s="1887"/>
      <c r="AH46" s="1887"/>
      <c r="AI46" s="1887"/>
      <c r="AJ46" s="1887"/>
      <c r="AK46" s="1887"/>
      <c r="AL46" s="1888"/>
      <c r="AM46" s="1877" t="s">
        <v>184</v>
      </c>
      <c r="AN46" s="1878"/>
      <c r="AO46" s="1878"/>
      <c r="AP46" s="1878"/>
      <c r="AQ46" s="1878"/>
      <c r="AR46" s="1878"/>
      <c r="AS46" s="1878"/>
      <c r="AT46" s="1878"/>
      <c r="AU46" s="1878"/>
      <c r="AV46" s="1878"/>
      <c r="AW46" s="1878"/>
      <c r="AX46" s="1878"/>
      <c r="AY46" s="1878"/>
      <c r="AZ46" s="1879"/>
      <c r="BB46" s="1883"/>
      <c r="BC46" s="1884"/>
      <c r="BD46" s="1885"/>
      <c r="BE46" s="1892"/>
      <c r="BF46" s="1893"/>
      <c r="BG46" s="1893"/>
      <c r="BH46" s="1893"/>
      <c r="BI46" s="1893"/>
      <c r="BJ46" s="1893"/>
      <c r="BK46" s="1893"/>
      <c r="BL46" s="1893"/>
      <c r="BM46" s="1893"/>
      <c r="BN46" s="1893"/>
      <c r="BO46" s="1893"/>
      <c r="BP46" s="1893"/>
      <c r="BQ46" s="1893"/>
      <c r="BR46" s="1893"/>
      <c r="BS46" s="1893"/>
      <c r="BT46" s="1893"/>
      <c r="BU46" s="1893"/>
      <c r="BV46" s="1893"/>
      <c r="BW46" s="1893"/>
      <c r="BX46" s="1893"/>
      <c r="BY46" s="1893"/>
      <c r="BZ46" s="1893"/>
      <c r="CA46" s="1893"/>
      <c r="CB46" s="1893"/>
      <c r="CC46" s="1893"/>
      <c r="CD46" s="1893"/>
      <c r="CE46" s="1893"/>
      <c r="CF46" s="1893"/>
      <c r="CG46" s="1893"/>
      <c r="CH46" s="1893"/>
      <c r="CI46" s="1893"/>
      <c r="CJ46" s="1893"/>
      <c r="CK46" s="1893"/>
      <c r="CL46" s="1893"/>
      <c r="CM46" s="1893"/>
      <c r="CN46" s="1893"/>
      <c r="CO46" s="1893"/>
      <c r="CP46" s="1893"/>
      <c r="CQ46" s="1893"/>
      <c r="CR46" s="1893"/>
      <c r="CS46" s="1893"/>
      <c r="CT46" s="1893"/>
      <c r="CU46" s="1893"/>
      <c r="CV46" s="1893"/>
      <c r="CW46" s="1893"/>
      <c r="CX46" s="1893"/>
      <c r="CY46" s="1893"/>
      <c r="CZ46" s="1893"/>
      <c r="DA46" s="1894"/>
    </row>
    <row r="47" spans="1:105">
      <c r="A47" s="1862"/>
      <c r="B47" s="1863"/>
      <c r="C47" s="1864"/>
      <c r="D47" s="1889"/>
      <c r="E47" s="1890"/>
      <c r="F47" s="1890"/>
      <c r="G47" s="1890"/>
      <c r="H47" s="1890"/>
      <c r="I47" s="1890"/>
      <c r="J47" s="1890"/>
      <c r="K47" s="1890"/>
      <c r="L47" s="1890"/>
      <c r="M47" s="1890"/>
      <c r="N47" s="1890"/>
      <c r="O47" s="1890"/>
      <c r="P47" s="1890"/>
      <c r="Q47" s="1890"/>
      <c r="R47" s="1890"/>
      <c r="S47" s="1890"/>
      <c r="T47" s="1890"/>
      <c r="U47" s="1890"/>
      <c r="V47" s="1890"/>
      <c r="W47" s="1890"/>
      <c r="X47" s="1890"/>
      <c r="Y47" s="1890"/>
      <c r="Z47" s="1890"/>
      <c r="AA47" s="1890"/>
      <c r="AB47" s="1890"/>
      <c r="AC47" s="1890"/>
      <c r="AD47" s="1890"/>
      <c r="AE47" s="1890"/>
      <c r="AF47" s="1890"/>
      <c r="AG47" s="1890"/>
      <c r="AH47" s="1890"/>
      <c r="AI47" s="1890"/>
      <c r="AJ47" s="1890"/>
      <c r="AK47" s="1890"/>
      <c r="AL47" s="1891"/>
      <c r="AM47" s="1880"/>
      <c r="AN47" s="1881"/>
      <c r="AO47" s="1881"/>
      <c r="AP47" s="1881"/>
      <c r="AQ47" s="1881"/>
      <c r="AR47" s="1881"/>
      <c r="AS47" s="1881"/>
      <c r="AT47" s="1881"/>
      <c r="AU47" s="1881"/>
      <c r="AV47" s="1881"/>
      <c r="AW47" s="1881"/>
      <c r="AX47" s="1881"/>
      <c r="AY47" s="1881"/>
      <c r="AZ47" s="1882"/>
      <c r="BB47" s="1877" t="s">
        <v>223</v>
      </c>
      <c r="BC47" s="1878"/>
      <c r="BD47" s="1879"/>
      <c r="BE47" s="1886" t="s">
        <v>1360</v>
      </c>
      <c r="BF47" s="1887"/>
      <c r="BG47" s="1887"/>
      <c r="BH47" s="1887"/>
      <c r="BI47" s="1887"/>
      <c r="BJ47" s="1887"/>
      <c r="BK47" s="1887"/>
      <c r="BL47" s="1887"/>
      <c r="BM47" s="1887"/>
      <c r="BN47" s="1887"/>
      <c r="BO47" s="1887"/>
      <c r="BP47" s="1887"/>
      <c r="BQ47" s="1887"/>
      <c r="BR47" s="1887"/>
      <c r="BS47" s="1887"/>
      <c r="BT47" s="1887"/>
      <c r="BU47" s="1887"/>
      <c r="BV47" s="1887"/>
      <c r="BW47" s="1887"/>
      <c r="BX47" s="1887"/>
      <c r="BY47" s="1887"/>
      <c r="BZ47" s="1887"/>
      <c r="CA47" s="1887"/>
      <c r="CB47" s="1887"/>
      <c r="CC47" s="1887"/>
      <c r="CD47" s="1887"/>
      <c r="CE47" s="1887"/>
      <c r="CF47" s="1887"/>
      <c r="CG47" s="1887"/>
      <c r="CH47" s="1887"/>
      <c r="CI47" s="1887"/>
      <c r="CJ47" s="1887"/>
      <c r="CK47" s="1887"/>
      <c r="CL47" s="1887"/>
      <c r="CM47" s="1887"/>
      <c r="CN47" s="1887"/>
      <c r="CO47" s="1887"/>
      <c r="CP47" s="1887"/>
      <c r="CQ47" s="1887"/>
      <c r="CR47" s="1887"/>
      <c r="CS47" s="1887"/>
      <c r="CT47" s="1887"/>
      <c r="CU47" s="1887"/>
      <c r="CV47" s="1887"/>
      <c r="CW47" s="1887"/>
      <c r="CX47" s="1887"/>
      <c r="CY47" s="1887"/>
      <c r="CZ47" s="1887"/>
      <c r="DA47" s="1888"/>
    </row>
    <row r="48" spans="1:105" ht="13.5" thickBot="1">
      <c r="A48" s="1865"/>
      <c r="B48" s="1866"/>
      <c r="C48" s="1867"/>
      <c r="D48" s="1892"/>
      <c r="E48" s="1893"/>
      <c r="F48" s="1893"/>
      <c r="G48" s="1893"/>
      <c r="H48" s="1893"/>
      <c r="I48" s="1893"/>
      <c r="J48" s="1893"/>
      <c r="K48" s="1893"/>
      <c r="L48" s="1893"/>
      <c r="M48" s="1893"/>
      <c r="N48" s="1893"/>
      <c r="O48" s="1893"/>
      <c r="P48" s="1893"/>
      <c r="Q48" s="1893"/>
      <c r="R48" s="1893"/>
      <c r="S48" s="1893"/>
      <c r="T48" s="1893"/>
      <c r="U48" s="1893"/>
      <c r="V48" s="1893"/>
      <c r="W48" s="1893"/>
      <c r="X48" s="1893"/>
      <c r="Y48" s="1893"/>
      <c r="Z48" s="1893"/>
      <c r="AA48" s="1893"/>
      <c r="AB48" s="1893"/>
      <c r="AC48" s="1893"/>
      <c r="AD48" s="1893"/>
      <c r="AE48" s="1893"/>
      <c r="AF48" s="1893"/>
      <c r="AG48" s="1893"/>
      <c r="AH48" s="1893"/>
      <c r="AI48" s="1893"/>
      <c r="AJ48" s="1893"/>
      <c r="AK48" s="1893"/>
      <c r="AL48" s="1894"/>
      <c r="AM48" s="1883"/>
      <c r="AN48" s="1884"/>
      <c r="AO48" s="1884"/>
      <c r="AP48" s="1884"/>
      <c r="AQ48" s="1884"/>
      <c r="AR48" s="1884"/>
      <c r="AS48" s="1884"/>
      <c r="AT48" s="1884"/>
      <c r="AU48" s="1884"/>
      <c r="AV48" s="1884"/>
      <c r="AW48" s="1884"/>
      <c r="AX48" s="1884"/>
      <c r="AY48" s="1884"/>
      <c r="AZ48" s="1885"/>
      <c r="BB48" s="1880"/>
      <c r="BC48" s="1881"/>
      <c r="BD48" s="1882"/>
      <c r="BE48" s="1889"/>
      <c r="BF48" s="1890"/>
      <c r="BG48" s="1890"/>
      <c r="BH48" s="1890"/>
      <c r="BI48" s="1890"/>
      <c r="BJ48" s="1890"/>
      <c r="BK48" s="1890"/>
      <c r="BL48" s="1890"/>
      <c r="BM48" s="1890"/>
      <c r="BN48" s="1890"/>
      <c r="BO48" s="1890"/>
      <c r="BP48" s="1890"/>
      <c r="BQ48" s="1890"/>
      <c r="BR48" s="1890"/>
      <c r="BS48" s="1890"/>
      <c r="BT48" s="1890"/>
      <c r="BU48" s="1890"/>
      <c r="BV48" s="1890"/>
      <c r="BW48" s="1890"/>
      <c r="BX48" s="1890"/>
      <c r="BY48" s="1890"/>
      <c r="BZ48" s="1890"/>
      <c r="CA48" s="1890"/>
      <c r="CB48" s="1890"/>
      <c r="CC48" s="1890"/>
      <c r="CD48" s="1890"/>
      <c r="CE48" s="1890"/>
      <c r="CF48" s="1890"/>
      <c r="CG48" s="1890"/>
      <c r="CH48" s="1890"/>
      <c r="CI48" s="1890"/>
      <c r="CJ48" s="1890"/>
      <c r="CK48" s="1890"/>
      <c r="CL48" s="1890"/>
      <c r="CM48" s="1890"/>
      <c r="CN48" s="1890"/>
      <c r="CO48" s="1890"/>
      <c r="CP48" s="1890"/>
      <c r="CQ48" s="1890"/>
      <c r="CR48" s="1890"/>
      <c r="CS48" s="1890"/>
      <c r="CT48" s="1890"/>
      <c r="CU48" s="1890"/>
      <c r="CV48" s="1890"/>
      <c r="CW48" s="1890"/>
      <c r="CX48" s="1890"/>
      <c r="CY48" s="1890"/>
      <c r="CZ48" s="1890"/>
      <c r="DA48" s="1891"/>
    </row>
    <row r="49" spans="1:105" ht="13.5" customHeight="1" thickBot="1">
      <c r="A49" s="1859">
        <v>8</v>
      </c>
      <c r="B49" s="1860"/>
      <c r="C49" s="1861"/>
      <c r="D49" s="1886" t="s">
        <v>1280</v>
      </c>
      <c r="E49" s="1887"/>
      <c r="F49" s="1887"/>
      <c r="G49" s="1887"/>
      <c r="H49" s="1887"/>
      <c r="I49" s="1887"/>
      <c r="J49" s="1887"/>
      <c r="K49" s="1887"/>
      <c r="L49" s="1887"/>
      <c r="M49" s="1887"/>
      <c r="N49" s="1887"/>
      <c r="O49" s="1887"/>
      <c r="P49" s="1887"/>
      <c r="Q49" s="1887"/>
      <c r="R49" s="1887"/>
      <c r="S49" s="1887"/>
      <c r="T49" s="1887"/>
      <c r="U49" s="1887"/>
      <c r="V49" s="1887"/>
      <c r="W49" s="1887"/>
      <c r="X49" s="1887"/>
      <c r="Y49" s="1887"/>
      <c r="Z49" s="1887"/>
      <c r="AA49" s="1887"/>
      <c r="AB49" s="1887"/>
      <c r="AC49" s="1887"/>
      <c r="AD49" s="1887"/>
      <c r="AE49" s="1887"/>
      <c r="AF49" s="1887"/>
      <c r="AG49" s="1887"/>
      <c r="AH49" s="1887"/>
      <c r="AI49" s="1887"/>
      <c r="AJ49" s="1887"/>
      <c r="AK49" s="1887"/>
      <c r="AL49" s="1888"/>
      <c r="AM49" s="1922" t="s">
        <v>1386</v>
      </c>
      <c r="AN49" s="1923"/>
      <c r="AO49" s="1923"/>
      <c r="AP49" s="1923"/>
      <c r="AQ49" s="1923"/>
      <c r="AR49" s="1923"/>
      <c r="AS49" s="1923"/>
      <c r="AT49" s="1923"/>
      <c r="AU49" s="1923"/>
      <c r="AV49" s="1923"/>
      <c r="AW49" s="1923"/>
      <c r="AX49" s="1923"/>
      <c r="AY49" s="1923"/>
      <c r="AZ49" s="1924"/>
      <c r="BB49" s="1883"/>
      <c r="BC49" s="1884"/>
      <c r="BD49" s="1885"/>
      <c r="BE49" s="1892"/>
      <c r="BF49" s="1893"/>
      <c r="BG49" s="1893"/>
      <c r="BH49" s="1893"/>
      <c r="BI49" s="1893"/>
      <c r="BJ49" s="1893"/>
      <c r="BK49" s="1893"/>
      <c r="BL49" s="1893"/>
      <c r="BM49" s="1893"/>
      <c r="BN49" s="1893"/>
      <c r="BO49" s="1893"/>
      <c r="BP49" s="1893"/>
      <c r="BQ49" s="1893"/>
      <c r="BR49" s="1893"/>
      <c r="BS49" s="1893"/>
      <c r="BT49" s="1893"/>
      <c r="BU49" s="1893"/>
      <c r="BV49" s="1893"/>
      <c r="BW49" s="1893"/>
      <c r="BX49" s="1893"/>
      <c r="BY49" s="1893"/>
      <c r="BZ49" s="1893"/>
      <c r="CA49" s="1893"/>
      <c r="CB49" s="1893"/>
      <c r="CC49" s="1893"/>
      <c r="CD49" s="1893"/>
      <c r="CE49" s="1893"/>
      <c r="CF49" s="1893"/>
      <c r="CG49" s="1893"/>
      <c r="CH49" s="1893"/>
      <c r="CI49" s="1893"/>
      <c r="CJ49" s="1893"/>
      <c r="CK49" s="1893"/>
      <c r="CL49" s="1893"/>
      <c r="CM49" s="1893"/>
      <c r="CN49" s="1893"/>
      <c r="CO49" s="1893"/>
      <c r="CP49" s="1893"/>
      <c r="CQ49" s="1893"/>
      <c r="CR49" s="1893"/>
      <c r="CS49" s="1893"/>
      <c r="CT49" s="1893"/>
      <c r="CU49" s="1893"/>
      <c r="CV49" s="1893"/>
      <c r="CW49" s="1893"/>
      <c r="CX49" s="1893"/>
      <c r="CY49" s="1893"/>
      <c r="CZ49" s="1893"/>
      <c r="DA49" s="1894"/>
    </row>
    <row r="50" spans="1:105" ht="20.25" customHeight="1">
      <c r="A50" s="1862"/>
      <c r="B50" s="1863"/>
      <c r="C50" s="1864"/>
      <c r="D50" s="1889"/>
      <c r="E50" s="1890"/>
      <c r="F50" s="1890"/>
      <c r="G50" s="1890"/>
      <c r="H50" s="1890"/>
      <c r="I50" s="1890"/>
      <c r="J50" s="1890"/>
      <c r="K50" s="1890"/>
      <c r="L50" s="1890"/>
      <c r="M50" s="1890"/>
      <c r="N50" s="1890"/>
      <c r="O50" s="1890"/>
      <c r="P50" s="1890"/>
      <c r="Q50" s="1890"/>
      <c r="R50" s="1890"/>
      <c r="S50" s="1890"/>
      <c r="T50" s="1890"/>
      <c r="U50" s="1890"/>
      <c r="V50" s="1890"/>
      <c r="W50" s="1890"/>
      <c r="X50" s="1890"/>
      <c r="Y50" s="1890"/>
      <c r="Z50" s="1890"/>
      <c r="AA50" s="1890"/>
      <c r="AB50" s="1890"/>
      <c r="AC50" s="1890"/>
      <c r="AD50" s="1890"/>
      <c r="AE50" s="1890"/>
      <c r="AF50" s="1890"/>
      <c r="AG50" s="1890"/>
      <c r="AH50" s="1890"/>
      <c r="AI50" s="1890"/>
      <c r="AJ50" s="1890"/>
      <c r="AK50" s="1890"/>
      <c r="AL50" s="1891"/>
      <c r="AM50" s="1925"/>
      <c r="AN50" s="1926"/>
      <c r="AO50" s="1926"/>
      <c r="AP50" s="1926"/>
      <c r="AQ50" s="1926"/>
      <c r="AR50" s="1926"/>
      <c r="AS50" s="1926"/>
      <c r="AT50" s="1926"/>
      <c r="AU50" s="1926"/>
      <c r="AV50" s="1926"/>
      <c r="AW50" s="1926"/>
      <c r="AX50" s="1926"/>
      <c r="AY50" s="1926"/>
      <c r="AZ50" s="1927"/>
      <c r="BB50" s="1877" t="s">
        <v>175</v>
      </c>
      <c r="BC50" s="1878"/>
      <c r="BD50" s="1879"/>
      <c r="BE50" s="1886" t="s">
        <v>1362</v>
      </c>
      <c r="BF50" s="1887"/>
      <c r="BG50" s="1887"/>
      <c r="BH50" s="1887"/>
      <c r="BI50" s="1887"/>
      <c r="BJ50" s="1887"/>
      <c r="BK50" s="1887"/>
      <c r="BL50" s="1887"/>
      <c r="BM50" s="1887"/>
      <c r="BN50" s="1887"/>
      <c r="BO50" s="1887"/>
      <c r="BP50" s="1887"/>
      <c r="BQ50" s="1887"/>
      <c r="BR50" s="1887"/>
      <c r="BS50" s="1887"/>
      <c r="BT50" s="1887"/>
      <c r="BU50" s="1887"/>
      <c r="BV50" s="1887"/>
      <c r="BW50" s="1887"/>
      <c r="BX50" s="1887"/>
      <c r="BY50" s="1887"/>
      <c r="BZ50" s="1887"/>
      <c r="CA50" s="1887"/>
      <c r="CB50" s="1887"/>
      <c r="CC50" s="1887"/>
      <c r="CD50" s="1887"/>
      <c r="CE50" s="1887"/>
      <c r="CF50" s="1887"/>
      <c r="CG50" s="1887"/>
      <c r="CH50" s="1887"/>
      <c r="CI50" s="1887"/>
      <c r="CJ50" s="1887"/>
      <c r="CK50" s="1887"/>
      <c r="CL50" s="1887"/>
      <c r="CM50" s="1887"/>
      <c r="CN50" s="1887"/>
      <c r="CO50" s="1887"/>
      <c r="CP50" s="1887"/>
      <c r="CQ50" s="1887"/>
      <c r="CR50" s="1887"/>
      <c r="CS50" s="1887"/>
      <c r="CT50" s="1887"/>
      <c r="CU50" s="1887"/>
      <c r="CV50" s="1887"/>
      <c r="CW50" s="1887"/>
      <c r="CX50" s="1887"/>
      <c r="CY50" s="1887"/>
      <c r="CZ50" s="1887"/>
      <c r="DA50" s="1888"/>
    </row>
    <row r="51" spans="1:105" ht="13.5" customHeight="1" thickBot="1">
      <c r="A51" s="1865"/>
      <c r="B51" s="1866"/>
      <c r="C51" s="1867"/>
      <c r="D51" s="1892"/>
      <c r="E51" s="1893"/>
      <c r="F51" s="1893"/>
      <c r="G51" s="1893"/>
      <c r="H51" s="1893"/>
      <c r="I51" s="1893"/>
      <c r="J51" s="1893"/>
      <c r="K51" s="1893"/>
      <c r="L51" s="1893"/>
      <c r="M51" s="1893"/>
      <c r="N51" s="1893"/>
      <c r="O51" s="1893"/>
      <c r="P51" s="1893"/>
      <c r="Q51" s="1893"/>
      <c r="R51" s="1893"/>
      <c r="S51" s="1893"/>
      <c r="T51" s="1893"/>
      <c r="U51" s="1893"/>
      <c r="V51" s="1893"/>
      <c r="W51" s="1893"/>
      <c r="X51" s="1893"/>
      <c r="Y51" s="1893"/>
      <c r="Z51" s="1893"/>
      <c r="AA51" s="1893"/>
      <c r="AB51" s="1893"/>
      <c r="AC51" s="1893"/>
      <c r="AD51" s="1893"/>
      <c r="AE51" s="1893"/>
      <c r="AF51" s="1893"/>
      <c r="AG51" s="1893"/>
      <c r="AH51" s="1893"/>
      <c r="AI51" s="1893"/>
      <c r="AJ51" s="1893"/>
      <c r="AK51" s="1893"/>
      <c r="AL51" s="1894"/>
      <c r="AM51" s="1928"/>
      <c r="AN51" s="1929"/>
      <c r="AO51" s="1929"/>
      <c r="AP51" s="1929"/>
      <c r="AQ51" s="1929"/>
      <c r="AR51" s="1929"/>
      <c r="AS51" s="1929"/>
      <c r="AT51" s="1929"/>
      <c r="AU51" s="1929"/>
      <c r="AV51" s="1929"/>
      <c r="AW51" s="1929"/>
      <c r="AX51" s="1929"/>
      <c r="AY51" s="1929"/>
      <c r="AZ51" s="1930"/>
      <c r="BB51" s="1880"/>
      <c r="BC51" s="1881"/>
      <c r="BD51" s="1882"/>
      <c r="BE51" s="1889"/>
      <c r="BF51" s="1890"/>
      <c r="BG51" s="1890"/>
      <c r="BH51" s="1890"/>
      <c r="BI51" s="1890"/>
      <c r="BJ51" s="1890"/>
      <c r="BK51" s="1890"/>
      <c r="BL51" s="1890"/>
      <c r="BM51" s="1890"/>
      <c r="BN51" s="1890"/>
      <c r="BO51" s="1890"/>
      <c r="BP51" s="1890"/>
      <c r="BQ51" s="1890"/>
      <c r="BR51" s="1890"/>
      <c r="BS51" s="1890"/>
      <c r="BT51" s="1890"/>
      <c r="BU51" s="1890"/>
      <c r="BV51" s="1890"/>
      <c r="BW51" s="1890"/>
      <c r="BX51" s="1890"/>
      <c r="BY51" s="1890"/>
      <c r="BZ51" s="1890"/>
      <c r="CA51" s="1890"/>
      <c r="CB51" s="1890"/>
      <c r="CC51" s="1890"/>
      <c r="CD51" s="1890"/>
      <c r="CE51" s="1890"/>
      <c r="CF51" s="1890"/>
      <c r="CG51" s="1890"/>
      <c r="CH51" s="1890"/>
      <c r="CI51" s="1890"/>
      <c r="CJ51" s="1890"/>
      <c r="CK51" s="1890"/>
      <c r="CL51" s="1890"/>
      <c r="CM51" s="1890"/>
      <c r="CN51" s="1890"/>
      <c r="CO51" s="1890"/>
      <c r="CP51" s="1890"/>
      <c r="CQ51" s="1890"/>
      <c r="CR51" s="1890"/>
      <c r="CS51" s="1890"/>
      <c r="CT51" s="1890"/>
      <c r="CU51" s="1890"/>
      <c r="CV51" s="1890"/>
      <c r="CW51" s="1890"/>
      <c r="CX51" s="1890"/>
      <c r="CY51" s="1890"/>
      <c r="CZ51" s="1890"/>
      <c r="DA51" s="1891"/>
    </row>
    <row r="52" spans="1:105" ht="13.5" thickBot="1">
      <c r="A52" s="1859">
        <v>9</v>
      </c>
      <c r="B52" s="1860"/>
      <c r="C52" s="1861"/>
      <c r="D52" s="1886" t="s">
        <v>1281</v>
      </c>
      <c r="E52" s="1887"/>
      <c r="F52" s="1887"/>
      <c r="G52" s="1887"/>
      <c r="H52" s="1887"/>
      <c r="I52" s="1887"/>
      <c r="J52" s="1887"/>
      <c r="K52" s="1887"/>
      <c r="L52" s="1887"/>
      <c r="M52" s="1887"/>
      <c r="N52" s="1887"/>
      <c r="O52" s="1887"/>
      <c r="P52" s="1887"/>
      <c r="Q52" s="1887"/>
      <c r="R52" s="1887"/>
      <c r="S52" s="1887"/>
      <c r="T52" s="1887"/>
      <c r="U52" s="1887"/>
      <c r="V52" s="1887"/>
      <c r="W52" s="1887"/>
      <c r="X52" s="1887"/>
      <c r="Y52" s="1887"/>
      <c r="Z52" s="1887"/>
      <c r="AA52" s="1887"/>
      <c r="AB52" s="1887"/>
      <c r="AC52" s="1887"/>
      <c r="AD52" s="1887"/>
      <c r="AE52" s="1887"/>
      <c r="AF52" s="1887"/>
      <c r="AG52" s="1887"/>
      <c r="AH52" s="1887"/>
      <c r="AI52" s="1887"/>
      <c r="AJ52" s="1887"/>
      <c r="AK52" s="1887"/>
      <c r="AL52" s="1888"/>
      <c r="AM52" s="1877" t="s">
        <v>182</v>
      </c>
      <c r="AN52" s="1878"/>
      <c r="AO52" s="1878"/>
      <c r="AP52" s="1878"/>
      <c r="AQ52" s="1878"/>
      <c r="AR52" s="1878"/>
      <c r="AS52" s="1878"/>
      <c r="AT52" s="1878"/>
      <c r="AU52" s="1878"/>
      <c r="AV52" s="1878"/>
      <c r="AW52" s="1878"/>
      <c r="AX52" s="1878"/>
      <c r="AY52" s="1878"/>
      <c r="AZ52" s="1879"/>
      <c r="BB52" s="1883"/>
      <c r="BC52" s="1884"/>
      <c r="BD52" s="1885"/>
      <c r="BE52" s="1892"/>
      <c r="BF52" s="1893"/>
      <c r="BG52" s="1893"/>
      <c r="BH52" s="1893"/>
      <c r="BI52" s="1893"/>
      <c r="BJ52" s="1893"/>
      <c r="BK52" s="1893"/>
      <c r="BL52" s="1893"/>
      <c r="BM52" s="1893"/>
      <c r="BN52" s="1893"/>
      <c r="BO52" s="1893"/>
      <c r="BP52" s="1893"/>
      <c r="BQ52" s="1893"/>
      <c r="BR52" s="1893"/>
      <c r="BS52" s="1893"/>
      <c r="BT52" s="1893"/>
      <c r="BU52" s="1893"/>
      <c r="BV52" s="1893"/>
      <c r="BW52" s="1893"/>
      <c r="BX52" s="1893"/>
      <c r="BY52" s="1893"/>
      <c r="BZ52" s="1893"/>
      <c r="CA52" s="1893"/>
      <c r="CB52" s="1893"/>
      <c r="CC52" s="1893"/>
      <c r="CD52" s="1893"/>
      <c r="CE52" s="1893"/>
      <c r="CF52" s="1893"/>
      <c r="CG52" s="1893"/>
      <c r="CH52" s="1893"/>
      <c r="CI52" s="1893"/>
      <c r="CJ52" s="1893"/>
      <c r="CK52" s="1893"/>
      <c r="CL52" s="1893"/>
      <c r="CM52" s="1893"/>
      <c r="CN52" s="1893"/>
      <c r="CO52" s="1893"/>
      <c r="CP52" s="1893"/>
      <c r="CQ52" s="1893"/>
      <c r="CR52" s="1893"/>
      <c r="CS52" s="1893"/>
      <c r="CT52" s="1893"/>
      <c r="CU52" s="1893"/>
      <c r="CV52" s="1893"/>
      <c r="CW52" s="1893"/>
      <c r="CX52" s="1893"/>
      <c r="CY52" s="1893"/>
      <c r="CZ52" s="1893"/>
      <c r="DA52" s="1894"/>
    </row>
    <row r="53" spans="1:105">
      <c r="A53" s="1862"/>
      <c r="B53" s="1863"/>
      <c r="C53" s="1864"/>
      <c r="D53" s="1889"/>
      <c r="E53" s="1890"/>
      <c r="F53" s="1890"/>
      <c r="G53" s="1890"/>
      <c r="H53" s="1890"/>
      <c r="I53" s="1890"/>
      <c r="J53" s="1890"/>
      <c r="K53" s="1890"/>
      <c r="L53" s="1890"/>
      <c r="M53" s="1890"/>
      <c r="N53" s="1890"/>
      <c r="O53" s="1890"/>
      <c r="P53" s="1890"/>
      <c r="Q53" s="1890"/>
      <c r="R53" s="1890"/>
      <c r="S53" s="1890"/>
      <c r="T53" s="1890"/>
      <c r="U53" s="1890"/>
      <c r="V53" s="1890"/>
      <c r="W53" s="1890"/>
      <c r="X53" s="1890"/>
      <c r="Y53" s="1890"/>
      <c r="Z53" s="1890"/>
      <c r="AA53" s="1890"/>
      <c r="AB53" s="1890"/>
      <c r="AC53" s="1890"/>
      <c r="AD53" s="1890"/>
      <c r="AE53" s="1890"/>
      <c r="AF53" s="1890"/>
      <c r="AG53" s="1890"/>
      <c r="AH53" s="1890"/>
      <c r="AI53" s="1890"/>
      <c r="AJ53" s="1890"/>
      <c r="AK53" s="1890"/>
      <c r="AL53" s="1891"/>
      <c r="AM53" s="1880"/>
      <c r="AN53" s="1881"/>
      <c r="AO53" s="1881"/>
      <c r="AP53" s="1881"/>
      <c r="AQ53" s="1881"/>
      <c r="AR53" s="1881"/>
      <c r="AS53" s="1881"/>
      <c r="AT53" s="1881"/>
      <c r="AU53" s="1881"/>
      <c r="AV53" s="1881"/>
      <c r="AW53" s="1881"/>
      <c r="AX53" s="1881"/>
      <c r="AY53" s="1881"/>
      <c r="AZ53" s="1882"/>
      <c r="BB53" s="1877" t="s">
        <v>224</v>
      </c>
      <c r="BC53" s="1878"/>
      <c r="BD53" s="1879"/>
      <c r="BE53" s="1886" t="s">
        <v>1361</v>
      </c>
      <c r="BF53" s="1887"/>
      <c r="BG53" s="1887"/>
      <c r="BH53" s="1887"/>
      <c r="BI53" s="1887"/>
      <c r="BJ53" s="1887"/>
      <c r="BK53" s="1887"/>
      <c r="BL53" s="1887"/>
      <c r="BM53" s="1887"/>
      <c r="BN53" s="1887"/>
      <c r="BO53" s="1887"/>
      <c r="BP53" s="1887"/>
      <c r="BQ53" s="1887"/>
      <c r="BR53" s="1887"/>
      <c r="BS53" s="1887"/>
      <c r="BT53" s="1887"/>
      <c r="BU53" s="1887"/>
      <c r="BV53" s="1887"/>
      <c r="BW53" s="1887"/>
      <c r="BX53" s="1887"/>
      <c r="BY53" s="1887"/>
      <c r="BZ53" s="1887"/>
      <c r="CA53" s="1887"/>
      <c r="CB53" s="1887"/>
      <c r="CC53" s="1887"/>
      <c r="CD53" s="1887"/>
      <c r="CE53" s="1887"/>
      <c r="CF53" s="1887"/>
      <c r="CG53" s="1887"/>
      <c r="CH53" s="1887"/>
      <c r="CI53" s="1887"/>
      <c r="CJ53" s="1887"/>
      <c r="CK53" s="1887"/>
      <c r="CL53" s="1887"/>
      <c r="CM53" s="1887"/>
      <c r="CN53" s="1887"/>
      <c r="CO53" s="1887"/>
      <c r="CP53" s="1887"/>
      <c r="CQ53" s="1887"/>
      <c r="CR53" s="1887"/>
      <c r="CS53" s="1887"/>
      <c r="CT53" s="1887"/>
      <c r="CU53" s="1887"/>
      <c r="CV53" s="1887"/>
      <c r="CW53" s="1887"/>
      <c r="CX53" s="1887"/>
      <c r="CY53" s="1887"/>
      <c r="CZ53" s="1887"/>
      <c r="DA53" s="1888"/>
    </row>
    <row r="54" spans="1:105" ht="13.5" thickBot="1">
      <c r="A54" s="1865"/>
      <c r="B54" s="1866"/>
      <c r="C54" s="1867"/>
      <c r="D54" s="1892"/>
      <c r="E54" s="1893"/>
      <c r="F54" s="1893"/>
      <c r="G54" s="1893"/>
      <c r="H54" s="1893"/>
      <c r="I54" s="1893"/>
      <c r="J54" s="1893"/>
      <c r="K54" s="1893"/>
      <c r="L54" s="1893"/>
      <c r="M54" s="1893"/>
      <c r="N54" s="1893"/>
      <c r="O54" s="1893"/>
      <c r="P54" s="1893"/>
      <c r="Q54" s="1893"/>
      <c r="R54" s="1893"/>
      <c r="S54" s="1893"/>
      <c r="T54" s="1893"/>
      <c r="U54" s="1893"/>
      <c r="V54" s="1893"/>
      <c r="W54" s="1893"/>
      <c r="X54" s="1893"/>
      <c r="Y54" s="1893"/>
      <c r="Z54" s="1893"/>
      <c r="AA54" s="1893"/>
      <c r="AB54" s="1893"/>
      <c r="AC54" s="1893"/>
      <c r="AD54" s="1893"/>
      <c r="AE54" s="1893"/>
      <c r="AF54" s="1893"/>
      <c r="AG54" s="1893"/>
      <c r="AH54" s="1893"/>
      <c r="AI54" s="1893"/>
      <c r="AJ54" s="1893"/>
      <c r="AK54" s="1893"/>
      <c r="AL54" s="1894"/>
      <c r="AM54" s="1883"/>
      <c r="AN54" s="1884"/>
      <c r="AO54" s="1884"/>
      <c r="AP54" s="1884"/>
      <c r="AQ54" s="1884"/>
      <c r="AR54" s="1884"/>
      <c r="AS54" s="1884"/>
      <c r="AT54" s="1884"/>
      <c r="AU54" s="1884"/>
      <c r="AV54" s="1884"/>
      <c r="AW54" s="1884"/>
      <c r="AX54" s="1884"/>
      <c r="AY54" s="1884"/>
      <c r="AZ54" s="1885"/>
      <c r="BB54" s="1880"/>
      <c r="BC54" s="1881"/>
      <c r="BD54" s="1882"/>
      <c r="BE54" s="1889"/>
      <c r="BF54" s="1890"/>
      <c r="BG54" s="1890"/>
      <c r="BH54" s="1890"/>
      <c r="BI54" s="1890"/>
      <c r="BJ54" s="1890"/>
      <c r="BK54" s="1890"/>
      <c r="BL54" s="1890"/>
      <c r="BM54" s="1890"/>
      <c r="BN54" s="1890"/>
      <c r="BO54" s="1890"/>
      <c r="BP54" s="1890"/>
      <c r="BQ54" s="1890"/>
      <c r="BR54" s="1890"/>
      <c r="BS54" s="1890"/>
      <c r="BT54" s="1890"/>
      <c r="BU54" s="1890"/>
      <c r="BV54" s="1890"/>
      <c r="BW54" s="1890"/>
      <c r="BX54" s="1890"/>
      <c r="BY54" s="1890"/>
      <c r="BZ54" s="1890"/>
      <c r="CA54" s="1890"/>
      <c r="CB54" s="1890"/>
      <c r="CC54" s="1890"/>
      <c r="CD54" s="1890"/>
      <c r="CE54" s="1890"/>
      <c r="CF54" s="1890"/>
      <c r="CG54" s="1890"/>
      <c r="CH54" s="1890"/>
      <c r="CI54" s="1890"/>
      <c r="CJ54" s="1890"/>
      <c r="CK54" s="1890"/>
      <c r="CL54" s="1890"/>
      <c r="CM54" s="1890"/>
      <c r="CN54" s="1890"/>
      <c r="CO54" s="1890"/>
      <c r="CP54" s="1890"/>
      <c r="CQ54" s="1890"/>
      <c r="CR54" s="1890"/>
      <c r="CS54" s="1890"/>
      <c r="CT54" s="1890"/>
      <c r="CU54" s="1890"/>
      <c r="CV54" s="1890"/>
      <c r="CW54" s="1890"/>
      <c r="CX54" s="1890"/>
      <c r="CY54" s="1890"/>
      <c r="CZ54" s="1890"/>
      <c r="DA54" s="1891"/>
    </row>
    <row r="55" spans="1:105" ht="13.5" thickBot="1">
      <c r="A55" s="1859">
        <v>10</v>
      </c>
      <c r="B55" s="1860"/>
      <c r="C55" s="1861"/>
      <c r="D55" s="1868" t="s">
        <v>1282</v>
      </c>
      <c r="E55" s="1869"/>
      <c r="F55" s="1869"/>
      <c r="G55" s="1869"/>
      <c r="H55" s="1869"/>
      <c r="I55" s="1869"/>
      <c r="J55" s="1869"/>
      <c r="K55" s="1869"/>
      <c r="L55" s="1869"/>
      <c r="M55" s="1869"/>
      <c r="N55" s="1869"/>
      <c r="O55" s="1869"/>
      <c r="P55" s="1869"/>
      <c r="Q55" s="1869"/>
      <c r="R55" s="1869"/>
      <c r="S55" s="1869"/>
      <c r="T55" s="1869"/>
      <c r="U55" s="1869"/>
      <c r="V55" s="1869"/>
      <c r="W55" s="1869"/>
      <c r="X55" s="1869"/>
      <c r="Y55" s="1869"/>
      <c r="Z55" s="1869"/>
      <c r="AA55" s="1869"/>
      <c r="AB55" s="1869"/>
      <c r="AC55" s="1869"/>
      <c r="AD55" s="1869"/>
      <c r="AE55" s="1869"/>
      <c r="AF55" s="1869"/>
      <c r="AG55" s="1869"/>
      <c r="AH55" s="1869"/>
      <c r="AI55" s="1869"/>
      <c r="AJ55" s="1869"/>
      <c r="AK55" s="1869"/>
      <c r="AL55" s="1870"/>
      <c r="AM55" s="1877" t="s">
        <v>188</v>
      </c>
      <c r="AN55" s="1878"/>
      <c r="AO55" s="1878"/>
      <c r="AP55" s="1878"/>
      <c r="AQ55" s="1878"/>
      <c r="AR55" s="1878"/>
      <c r="AS55" s="1878"/>
      <c r="AT55" s="1878"/>
      <c r="AU55" s="1878"/>
      <c r="AV55" s="1878"/>
      <c r="AW55" s="1878"/>
      <c r="AX55" s="1878"/>
      <c r="AY55" s="1878"/>
      <c r="AZ55" s="1879"/>
      <c r="BB55" s="1883"/>
      <c r="BC55" s="1884"/>
      <c r="BD55" s="1885"/>
      <c r="BE55" s="1892"/>
      <c r="BF55" s="1893"/>
      <c r="BG55" s="1893"/>
      <c r="BH55" s="1893"/>
      <c r="BI55" s="1893"/>
      <c r="BJ55" s="1893"/>
      <c r="BK55" s="1893"/>
      <c r="BL55" s="1893"/>
      <c r="BM55" s="1893"/>
      <c r="BN55" s="1893"/>
      <c r="BO55" s="1893"/>
      <c r="BP55" s="1893"/>
      <c r="BQ55" s="1893"/>
      <c r="BR55" s="1893"/>
      <c r="BS55" s="1893"/>
      <c r="BT55" s="1893"/>
      <c r="BU55" s="1893"/>
      <c r="BV55" s="1893"/>
      <c r="BW55" s="1893"/>
      <c r="BX55" s="1893"/>
      <c r="BY55" s="1893"/>
      <c r="BZ55" s="1893"/>
      <c r="CA55" s="1893"/>
      <c r="CB55" s="1893"/>
      <c r="CC55" s="1893"/>
      <c r="CD55" s="1893"/>
      <c r="CE55" s="1893"/>
      <c r="CF55" s="1893"/>
      <c r="CG55" s="1893"/>
      <c r="CH55" s="1893"/>
      <c r="CI55" s="1893"/>
      <c r="CJ55" s="1893"/>
      <c r="CK55" s="1893"/>
      <c r="CL55" s="1893"/>
      <c r="CM55" s="1893"/>
      <c r="CN55" s="1893"/>
      <c r="CO55" s="1893"/>
      <c r="CP55" s="1893"/>
      <c r="CQ55" s="1893"/>
      <c r="CR55" s="1893"/>
      <c r="CS55" s="1893"/>
      <c r="CT55" s="1893"/>
      <c r="CU55" s="1893"/>
      <c r="CV55" s="1893"/>
      <c r="CW55" s="1893"/>
      <c r="CX55" s="1893"/>
      <c r="CY55" s="1893"/>
      <c r="CZ55" s="1893"/>
      <c r="DA55" s="1894"/>
    </row>
    <row r="56" spans="1:105">
      <c r="A56" s="1862"/>
      <c r="B56" s="1863"/>
      <c r="C56" s="1864"/>
      <c r="D56" s="1871"/>
      <c r="E56" s="1872"/>
      <c r="F56" s="1872"/>
      <c r="G56" s="1872"/>
      <c r="H56" s="1872"/>
      <c r="I56" s="1872"/>
      <c r="J56" s="1872"/>
      <c r="K56" s="1872"/>
      <c r="L56" s="1872"/>
      <c r="M56" s="1872"/>
      <c r="N56" s="1872"/>
      <c r="O56" s="1872"/>
      <c r="P56" s="1872"/>
      <c r="Q56" s="1872"/>
      <c r="R56" s="1872"/>
      <c r="S56" s="1872"/>
      <c r="T56" s="1872"/>
      <c r="U56" s="1872"/>
      <c r="V56" s="1872"/>
      <c r="W56" s="1872"/>
      <c r="X56" s="1872"/>
      <c r="Y56" s="1872"/>
      <c r="Z56" s="1872"/>
      <c r="AA56" s="1872"/>
      <c r="AB56" s="1872"/>
      <c r="AC56" s="1872"/>
      <c r="AD56" s="1872"/>
      <c r="AE56" s="1872"/>
      <c r="AF56" s="1872"/>
      <c r="AG56" s="1872"/>
      <c r="AH56" s="1872"/>
      <c r="AI56" s="1872"/>
      <c r="AJ56" s="1872"/>
      <c r="AK56" s="1872"/>
      <c r="AL56" s="1873"/>
      <c r="AM56" s="1880"/>
      <c r="AN56" s="1881"/>
      <c r="AO56" s="1881"/>
      <c r="AP56" s="1881"/>
      <c r="AQ56" s="1881"/>
      <c r="AR56" s="1881"/>
      <c r="AS56" s="1881"/>
      <c r="AT56" s="1881"/>
      <c r="AU56" s="1881"/>
      <c r="AV56" s="1881"/>
      <c r="AW56" s="1881"/>
      <c r="AX56" s="1881"/>
      <c r="AY56" s="1881"/>
      <c r="AZ56" s="1882"/>
      <c r="BB56" s="1877" t="s">
        <v>197</v>
      </c>
      <c r="BC56" s="1878"/>
      <c r="BD56" s="1879"/>
      <c r="BE56" s="1886" t="s">
        <v>1363</v>
      </c>
      <c r="BF56" s="1887"/>
      <c r="BG56" s="1887"/>
      <c r="BH56" s="1887"/>
      <c r="BI56" s="1887"/>
      <c r="BJ56" s="1887"/>
      <c r="BK56" s="1887"/>
      <c r="BL56" s="1887"/>
      <c r="BM56" s="1887"/>
      <c r="BN56" s="1887"/>
      <c r="BO56" s="1887"/>
      <c r="BP56" s="1887"/>
      <c r="BQ56" s="1887"/>
      <c r="BR56" s="1887"/>
      <c r="BS56" s="1887"/>
      <c r="BT56" s="1887"/>
      <c r="BU56" s="1887"/>
      <c r="BV56" s="1887"/>
      <c r="BW56" s="1887"/>
      <c r="BX56" s="1887"/>
      <c r="BY56" s="1887"/>
      <c r="BZ56" s="1887"/>
      <c r="CA56" s="1887"/>
      <c r="CB56" s="1887"/>
      <c r="CC56" s="1887"/>
      <c r="CD56" s="1887"/>
      <c r="CE56" s="1887"/>
      <c r="CF56" s="1887"/>
      <c r="CG56" s="1887"/>
      <c r="CH56" s="1887"/>
      <c r="CI56" s="1887"/>
      <c r="CJ56" s="1887"/>
      <c r="CK56" s="1887"/>
      <c r="CL56" s="1887"/>
      <c r="CM56" s="1887"/>
      <c r="CN56" s="1887"/>
      <c r="CO56" s="1887"/>
      <c r="CP56" s="1887"/>
      <c r="CQ56" s="1887"/>
      <c r="CR56" s="1887"/>
      <c r="CS56" s="1887"/>
      <c r="CT56" s="1887"/>
      <c r="CU56" s="1887"/>
      <c r="CV56" s="1887"/>
      <c r="CW56" s="1887"/>
      <c r="CX56" s="1887"/>
      <c r="CY56" s="1887"/>
      <c r="CZ56" s="1887"/>
      <c r="DA56" s="1888"/>
    </row>
    <row r="57" spans="1:105" ht="21" customHeight="1" thickBot="1">
      <c r="A57" s="1865"/>
      <c r="B57" s="1866"/>
      <c r="C57" s="1867"/>
      <c r="D57" s="1874"/>
      <c r="E57" s="1875"/>
      <c r="F57" s="1875"/>
      <c r="G57" s="1875"/>
      <c r="H57" s="1875"/>
      <c r="I57" s="1875"/>
      <c r="J57" s="1875"/>
      <c r="K57" s="1875"/>
      <c r="L57" s="1875"/>
      <c r="M57" s="1875"/>
      <c r="N57" s="1875"/>
      <c r="O57" s="1875"/>
      <c r="P57" s="1875"/>
      <c r="Q57" s="1875"/>
      <c r="R57" s="1875"/>
      <c r="S57" s="1875"/>
      <c r="T57" s="1875"/>
      <c r="U57" s="1875"/>
      <c r="V57" s="1875"/>
      <c r="W57" s="1875"/>
      <c r="X57" s="1875"/>
      <c r="Y57" s="1875"/>
      <c r="Z57" s="1875"/>
      <c r="AA57" s="1875"/>
      <c r="AB57" s="1875"/>
      <c r="AC57" s="1875"/>
      <c r="AD57" s="1875"/>
      <c r="AE57" s="1875"/>
      <c r="AF57" s="1875"/>
      <c r="AG57" s="1875"/>
      <c r="AH57" s="1875"/>
      <c r="AI57" s="1875"/>
      <c r="AJ57" s="1875"/>
      <c r="AK57" s="1875"/>
      <c r="AL57" s="1876"/>
      <c r="AM57" s="1883"/>
      <c r="AN57" s="1884"/>
      <c r="AO57" s="1884"/>
      <c r="AP57" s="1884"/>
      <c r="AQ57" s="1884"/>
      <c r="AR57" s="1884"/>
      <c r="AS57" s="1884"/>
      <c r="AT57" s="1884"/>
      <c r="AU57" s="1884"/>
      <c r="AV57" s="1884"/>
      <c r="AW57" s="1884"/>
      <c r="AX57" s="1884"/>
      <c r="AY57" s="1884"/>
      <c r="AZ57" s="1885"/>
      <c r="BB57" s="1880"/>
      <c r="BC57" s="1881"/>
      <c r="BD57" s="1882"/>
      <c r="BE57" s="1889"/>
      <c r="BF57" s="1890"/>
      <c r="BG57" s="1890"/>
      <c r="BH57" s="1890"/>
      <c r="BI57" s="1890"/>
      <c r="BJ57" s="1890"/>
      <c r="BK57" s="1890"/>
      <c r="BL57" s="1890"/>
      <c r="BM57" s="1890"/>
      <c r="BN57" s="1890"/>
      <c r="BO57" s="1890"/>
      <c r="BP57" s="1890"/>
      <c r="BQ57" s="1890"/>
      <c r="BR57" s="1890"/>
      <c r="BS57" s="1890"/>
      <c r="BT57" s="1890"/>
      <c r="BU57" s="1890"/>
      <c r="BV57" s="1890"/>
      <c r="BW57" s="1890"/>
      <c r="BX57" s="1890"/>
      <c r="BY57" s="1890"/>
      <c r="BZ57" s="1890"/>
      <c r="CA57" s="1890"/>
      <c r="CB57" s="1890"/>
      <c r="CC57" s="1890"/>
      <c r="CD57" s="1890"/>
      <c r="CE57" s="1890"/>
      <c r="CF57" s="1890"/>
      <c r="CG57" s="1890"/>
      <c r="CH57" s="1890"/>
      <c r="CI57" s="1890"/>
      <c r="CJ57" s="1890"/>
      <c r="CK57" s="1890"/>
      <c r="CL57" s="1890"/>
      <c r="CM57" s="1890"/>
      <c r="CN57" s="1890"/>
      <c r="CO57" s="1890"/>
      <c r="CP57" s="1890"/>
      <c r="CQ57" s="1890"/>
      <c r="CR57" s="1890"/>
      <c r="CS57" s="1890"/>
      <c r="CT57" s="1890"/>
      <c r="CU57" s="1890"/>
      <c r="CV57" s="1890"/>
      <c r="CW57" s="1890"/>
      <c r="CX57" s="1890"/>
      <c r="CY57" s="1890"/>
      <c r="CZ57" s="1890"/>
      <c r="DA57" s="1891"/>
    </row>
    <row r="58" spans="1:105" ht="13.5" thickBot="1">
      <c r="A58" s="1859">
        <v>11</v>
      </c>
      <c r="B58" s="1860"/>
      <c r="C58" s="1861"/>
      <c r="D58" s="1886" t="s">
        <v>1373</v>
      </c>
      <c r="E58" s="1887"/>
      <c r="F58" s="1887"/>
      <c r="G58" s="1887"/>
      <c r="H58" s="1887"/>
      <c r="I58" s="1887"/>
      <c r="J58" s="1887"/>
      <c r="K58" s="1887"/>
      <c r="L58" s="1887"/>
      <c r="M58" s="1887"/>
      <c r="N58" s="1887"/>
      <c r="O58" s="1887"/>
      <c r="P58" s="1887"/>
      <c r="Q58" s="1887"/>
      <c r="R58" s="1887"/>
      <c r="S58" s="1887"/>
      <c r="T58" s="1887"/>
      <c r="U58" s="1887"/>
      <c r="V58" s="1887"/>
      <c r="W58" s="1887"/>
      <c r="X58" s="1887"/>
      <c r="Y58" s="1887"/>
      <c r="Z58" s="1887"/>
      <c r="AA58" s="1887"/>
      <c r="AB58" s="1887"/>
      <c r="AC58" s="1887"/>
      <c r="AD58" s="1887"/>
      <c r="AE58" s="1887"/>
      <c r="AF58" s="1887"/>
      <c r="AG58" s="1887"/>
      <c r="AH58" s="1887"/>
      <c r="AI58" s="1887"/>
      <c r="AJ58" s="1887"/>
      <c r="AK58" s="1887"/>
      <c r="AL58" s="1888"/>
      <c r="AM58" s="1877" t="s">
        <v>190</v>
      </c>
      <c r="AN58" s="1878"/>
      <c r="AO58" s="1878"/>
      <c r="AP58" s="1878"/>
      <c r="AQ58" s="1878"/>
      <c r="AR58" s="1878"/>
      <c r="AS58" s="1878"/>
      <c r="AT58" s="1878"/>
      <c r="AU58" s="1878"/>
      <c r="AV58" s="1878"/>
      <c r="AW58" s="1878"/>
      <c r="AX58" s="1878"/>
      <c r="AY58" s="1878"/>
      <c r="AZ58" s="1879"/>
      <c r="BB58" s="1883"/>
      <c r="BC58" s="1884"/>
      <c r="BD58" s="1885"/>
      <c r="BE58" s="1892"/>
      <c r="BF58" s="1893"/>
      <c r="BG58" s="1893"/>
      <c r="BH58" s="1893"/>
      <c r="BI58" s="1893"/>
      <c r="BJ58" s="1893"/>
      <c r="BK58" s="1893"/>
      <c r="BL58" s="1893"/>
      <c r="BM58" s="1893"/>
      <c r="BN58" s="1893"/>
      <c r="BO58" s="1893"/>
      <c r="BP58" s="1893"/>
      <c r="BQ58" s="1893"/>
      <c r="BR58" s="1893"/>
      <c r="BS58" s="1893"/>
      <c r="BT58" s="1893"/>
      <c r="BU58" s="1893"/>
      <c r="BV58" s="1893"/>
      <c r="BW58" s="1893"/>
      <c r="BX58" s="1893"/>
      <c r="BY58" s="1893"/>
      <c r="BZ58" s="1893"/>
      <c r="CA58" s="1893"/>
      <c r="CB58" s="1893"/>
      <c r="CC58" s="1893"/>
      <c r="CD58" s="1893"/>
      <c r="CE58" s="1893"/>
      <c r="CF58" s="1893"/>
      <c r="CG58" s="1893"/>
      <c r="CH58" s="1893"/>
      <c r="CI58" s="1893"/>
      <c r="CJ58" s="1893"/>
      <c r="CK58" s="1893"/>
      <c r="CL58" s="1893"/>
      <c r="CM58" s="1893"/>
      <c r="CN58" s="1893"/>
      <c r="CO58" s="1893"/>
      <c r="CP58" s="1893"/>
      <c r="CQ58" s="1893"/>
      <c r="CR58" s="1893"/>
      <c r="CS58" s="1893"/>
      <c r="CT58" s="1893"/>
      <c r="CU58" s="1893"/>
      <c r="CV58" s="1893"/>
      <c r="CW58" s="1893"/>
      <c r="CX58" s="1893"/>
      <c r="CY58" s="1893"/>
      <c r="CZ58" s="1893"/>
      <c r="DA58" s="1894"/>
    </row>
    <row r="59" spans="1:105">
      <c r="A59" s="1862"/>
      <c r="B59" s="1863"/>
      <c r="C59" s="1864"/>
      <c r="D59" s="1889"/>
      <c r="E59" s="1890"/>
      <c r="F59" s="1890"/>
      <c r="G59" s="1890"/>
      <c r="H59" s="1890"/>
      <c r="I59" s="1890"/>
      <c r="J59" s="1890"/>
      <c r="K59" s="1890"/>
      <c r="L59" s="1890"/>
      <c r="M59" s="1890"/>
      <c r="N59" s="1890"/>
      <c r="O59" s="1890"/>
      <c r="P59" s="1890"/>
      <c r="Q59" s="1890"/>
      <c r="R59" s="1890"/>
      <c r="S59" s="1890"/>
      <c r="T59" s="1890"/>
      <c r="U59" s="1890"/>
      <c r="V59" s="1890"/>
      <c r="W59" s="1890"/>
      <c r="X59" s="1890"/>
      <c r="Y59" s="1890"/>
      <c r="Z59" s="1890"/>
      <c r="AA59" s="1890"/>
      <c r="AB59" s="1890"/>
      <c r="AC59" s="1890"/>
      <c r="AD59" s="1890"/>
      <c r="AE59" s="1890"/>
      <c r="AF59" s="1890"/>
      <c r="AG59" s="1890"/>
      <c r="AH59" s="1890"/>
      <c r="AI59" s="1890"/>
      <c r="AJ59" s="1890"/>
      <c r="AK59" s="1890"/>
      <c r="AL59" s="1891"/>
      <c r="AM59" s="1880"/>
      <c r="AN59" s="1881"/>
      <c r="AO59" s="1881"/>
      <c r="AP59" s="1881"/>
      <c r="AQ59" s="1881"/>
      <c r="AR59" s="1881"/>
      <c r="AS59" s="1881"/>
      <c r="AT59" s="1881"/>
      <c r="AU59" s="1881"/>
      <c r="AV59" s="1881"/>
      <c r="AW59" s="1881"/>
      <c r="AX59" s="1881"/>
      <c r="AY59" s="1881"/>
      <c r="AZ59" s="1882"/>
      <c r="BB59" s="1877" t="s">
        <v>194</v>
      </c>
      <c r="BC59" s="1878"/>
      <c r="BD59" s="1879"/>
      <c r="BE59" s="1886" t="s">
        <v>1364</v>
      </c>
      <c r="BF59" s="1887"/>
      <c r="BG59" s="1887"/>
      <c r="BH59" s="1887"/>
      <c r="BI59" s="1887"/>
      <c r="BJ59" s="1887"/>
      <c r="BK59" s="1887"/>
      <c r="BL59" s="1887"/>
      <c r="BM59" s="1887"/>
      <c r="BN59" s="1887"/>
      <c r="BO59" s="1887"/>
      <c r="BP59" s="1887"/>
      <c r="BQ59" s="1887"/>
      <c r="BR59" s="1887"/>
      <c r="BS59" s="1887"/>
      <c r="BT59" s="1887"/>
      <c r="BU59" s="1887"/>
      <c r="BV59" s="1887"/>
      <c r="BW59" s="1887"/>
      <c r="BX59" s="1887"/>
      <c r="BY59" s="1887"/>
      <c r="BZ59" s="1887"/>
      <c r="CA59" s="1887"/>
      <c r="CB59" s="1887"/>
      <c r="CC59" s="1887"/>
      <c r="CD59" s="1887"/>
      <c r="CE59" s="1887"/>
      <c r="CF59" s="1887"/>
      <c r="CG59" s="1887"/>
      <c r="CH59" s="1887"/>
      <c r="CI59" s="1887"/>
      <c r="CJ59" s="1887"/>
      <c r="CK59" s="1887"/>
      <c r="CL59" s="1887"/>
      <c r="CM59" s="1887"/>
      <c r="CN59" s="1887"/>
      <c r="CO59" s="1887"/>
      <c r="CP59" s="1887"/>
      <c r="CQ59" s="1887"/>
      <c r="CR59" s="1887"/>
      <c r="CS59" s="1887"/>
      <c r="CT59" s="1887"/>
      <c r="CU59" s="1887"/>
      <c r="CV59" s="1887"/>
      <c r="CW59" s="1887"/>
      <c r="CX59" s="1887"/>
      <c r="CY59" s="1887"/>
      <c r="CZ59" s="1887"/>
      <c r="DA59" s="1888"/>
    </row>
    <row r="60" spans="1:105" ht="13.5" thickBot="1">
      <c r="A60" s="1865"/>
      <c r="B60" s="1866"/>
      <c r="C60" s="1867"/>
      <c r="D60" s="1892"/>
      <c r="E60" s="1893"/>
      <c r="F60" s="1893"/>
      <c r="G60" s="1893"/>
      <c r="H60" s="1893"/>
      <c r="I60" s="1893"/>
      <c r="J60" s="1893"/>
      <c r="K60" s="1893"/>
      <c r="L60" s="1893"/>
      <c r="M60" s="1893"/>
      <c r="N60" s="1893"/>
      <c r="O60" s="1893"/>
      <c r="P60" s="1893"/>
      <c r="Q60" s="1893"/>
      <c r="R60" s="1893"/>
      <c r="S60" s="1893"/>
      <c r="T60" s="1893"/>
      <c r="U60" s="1893"/>
      <c r="V60" s="1893"/>
      <c r="W60" s="1893"/>
      <c r="X60" s="1893"/>
      <c r="Y60" s="1893"/>
      <c r="Z60" s="1893"/>
      <c r="AA60" s="1893"/>
      <c r="AB60" s="1893"/>
      <c r="AC60" s="1893"/>
      <c r="AD60" s="1893"/>
      <c r="AE60" s="1893"/>
      <c r="AF60" s="1893"/>
      <c r="AG60" s="1893"/>
      <c r="AH60" s="1893"/>
      <c r="AI60" s="1893"/>
      <c r="AJ60" s="1893"/>
      <c r="AK60" s="1893"/>
      <c r="AL60" s="1894"/>
      <c r="AM60" s="1883"/>
      <c r="AN60" s="1884"/>
      <c r="AO60" s="1884"/>
      <c r="AP60" s="1884"/>
      <c r="AQ60" s="1884"/>
      <c r="AR60" s="1884"/>
      <c r="AS60" s="1884"/>
      <c r="AT60" s="1884"/>
      <c r="AU60" s="1884"/>
      <c r="AV60" s="1884"/>
      <c r="AW60" s="1884"/>
      <c r="AX60" s="1884"/>
      <c r="AY60" s="1884"/>
      <c r="AZ60" s="1885"/>
      <c r="BB60" s="1880"/>
      <c r="BC60" s="1881"/>
      <c r="BD60" s="1882"/>
      <c r="BE60" s="1889"/>
      <c r="BF60" s="1890"/>
      <c r="BG60" s="1890"/>
      <c r="BH60" s="1890"/>
      <c r="BI60" s="1890"/>
      <c r="BJ60" s="1890"/>
      <c r="BK60" s="1890"/>
      <c r="BL60" s="1890"/>
      <c r="BM60" s="1890"/>
      <c r="BN60" s="1890"/>
      <c r="BO60" s="1890"/>
      <c r="BP60" s="1890"/>
      <c r="BQ60" s="1890"/>
      <c r="BR60" s="1890"/>
      <c r="BS60" s="1890"/>
      <c r="BT60" s="1890"/>
      <c r="BU60" s="1890"/>
      <c r="BV60" s="1890"/>
      <c r="BW60" s="1890"/>
      <c r="BX60" s="1890"/>
      <c r="BY60" s="1890"/>
      <c r="BZ60" s="1890"/>
      <c r="CA60" s="1890"/>
      <c r="CB60" s="1890"/>
      <c r="CC60" s="1890"/>
      <c r="CD60" s="1890"/>
      <c r="CE60" s="1890"/>
      <c r="CF60" s="1890"/>
      <c r="CG60" s="1890"/>
      <c r="CH60" s="1890"/>
      <c r="CI60" s="1890"/>
      <c r="CJ60" s="1890"/>
      <c r="CK60" s="1890"/>
      <c r="CL60" s="1890"/>
      <c r="CM60" s="1890"/>
      <c r="CN60" s="1890"/>
      <c r="CO60" s="1890"/>
      <c r="CP60" s="1890"/>
      <c r="CQ60" s="1890"/>
      <c r="CR60" s="1890"/>
      <c r="CS60" s="1890"/>
      <c r="CT60" s="1890"/>
      <c r="CU60" s="1890"/>
      <c r="CV60" s="1890"/>
      <c r="CW60" s="1890"/>
      <c r="CX60" s="1890"/>
      <c r="CY60" s="1890"/>
      <c r="CZ60" s="1890"/>
      <c r="DA60" s="1891"/>
    </row>
    <row r="61" spans="1:105" ht="13.5" thickBot="1">
      <c r="A61" s="1859">
        <v>12</v>
      </c>
      <c r="B61" s="1860"/>
      <c r="C61" s="1861"/>
      <c r="D61" s="1886" t="s">
        <v>1374</v>
      </c>
      <c r="E61" s="1887"/>
      <c r="F61" s="1887"/>
      <c r="G61" s="1887"/>
      <c r="H61" s="1887"/>
      <c r="I61" s="1887"/>
      <c r="J61" s="1887"/>
      <c r="K61" s="1887"/>
      <c r="L61" s="1887"/>
      <c r="M61" s="1887"/>
      <c r="N61" s="1887"/>
      <c r="O61" s="1887"/>
      <c r="P61" s="1887"/>
      <c r="Q61" s="1887"/>
      <c r="R61" s="1887"/>
      <c r="S61" s="1887"/>
      <c r="T61" s="1887"/>
      <c r="U61" s="1887"/>
      <c r="V61" s="1887"/>
      <c r="W61" s="1887"/>
      <c r="X61" s="1887"/>
      <c r="Y61" s="1887"/>
      <c r="Z61" s="1887"/>
      <c r="AA61" s="1887"/>
      <c r="AB61" s="1887"/>
      <c r="AC61" s="1887"/>
      <c r="AD61" s="1887"/>
      <c r="AE61" s="1887"/>
      <c r="AF61" s="1887"/>
      <c r="AG61" s="1887"/>
      <c r="AH61" s="1887"/>
      <c r="AI61" s="1887"/>
      <c r="AJ61" s="1887"/>
      <c r="AK61" s="1887"/>
      <c r="AL61" s="1888"/>
      <c r="AM61" s="1877" t="s">
        <v>193</v>
      </c>
      <c r="AN61" s="1878"/>
      <c r="AO61" s="1878"/>
      <c r="AP61" s="1878"/>
      <c r="AQ61" s="1878"/>
      <c r="AR61" s="1878"/>
      <c r="AS61" s="1878"/>
      <c r="AT61" s="1878"/>
      <c r="AU61" s="1878"/>
      <c r="AV61" s="1878"/>
      <c r="AW61" s="1878"/>
      <c r="AX61" s="1878"/>
      <c r="AY61" s="1878"/>
      <c r="AZ61" s="1879"/>
      <c r="BB61" s="1883"/>
      <c r="BC61" s="1884"/>
      <c r="BD61" s="1885"/>
      <c r="BE61" s="1892"/>
      <c r="BF61" s="1893"/>
      <c r="BG61" s="1893"/>
      <c r="BH61" s="1893"/>
      <c r="BI61" s="1893"/>
      <c r="BJ61" s="1893"/>
      <c r="BK61" s="1893"/>
      <c r="BL61" s="1893"/>
      <c r="BM61" s="1893"/>
      <c r="BN61" s="1893"/>
      <c r="BO61" s="1893"/>
      <c r="BP61" s="1893"/>
      <c r="BQ61" s="1893"/>
      <c r="BR61" s="1893"/>
      <c r="BS61" s="1893"/>
      <c r="BT61" s="1893"/>
      <c r="BU61" s="1893"/>
      <c r="BV61" s="1893"/>
      <c r="BW61" s="1893"/>
      <c r="BX61" s="1893"/>
      <c r="BY61" s="1893"/>
      <c r="BZ61" s="1893"/>
      <c r="CA61" s="1893"/>
      <c r="CB61" s="1893"/>
      <c r="CC61" s="1893"/>
      <c r="CD61" s="1893"/>
      <c r="CE61" s="1893"/>
      <c r="CF61" s="1893"/>
      <c r="CG61" s="1893"/>
      <c r="CH61" s="1893"/>
      <c r="CI61" s="1893"/>
      <c r="CJ61" s="1893"/>
      <c r="CK61" s="1893"/>
      <c r="CL61" s="1893"/>
      <c r="CM61" s="1893"/>
      <c r="CN61" s="1893"/>
      <c r="CO61" s="1893"/>
      <c r="CP61" s="1893"/>
      <c r="CQ61" s="1893"/>
      <c r="CR61" s="1893"/>
      <c r="CS61" s="1893"/>
      <c r="CT61" s="1893"/>
      <c r="CU61" s="1893"/>
      <c r="CV61" s="1893"/>
      <c r="CW61" s="1893"/>
      <c r="CX61" s="1893"/>
      <c r="CY61" s="1893"/>
      <c r="CZ61" s="1893"/>
      <c r="DA61" s="1894"/>
    </row>
    <row r="62" spans="1:105">
      <c r="A62" s="1862"/>
      <c r="B62" s="1863"/>
      <c r="C62" s="1864"/>
      <c r="D62" s="1889"/>
      <c r="E62" s="1890"/>
      <c r="F62" s="1890"/>
      <c r="G62" s="1890"/>
      <c r="H62" s="1890"/>
      <c r="I62" s="1890"/>
      <c r="J62" s="1890"/>
      <c r="K62" s="1890"/>
      <c r="L62" s="1890"/>
      <c r="M62" s="1890"/>
      <c r="N62" s="1890"/>
      <c r="O62" s="1890"/>
      <c r="P62" s="1890"/>
      <c r="Q62" s="1890"/>
      <c r="R62" s="1890"/>
      <c r="S62" s="1890"/>
      <c r="T62" s="1890"/>
      <c r="U62" s="1890"/>
      <c r="V62" s="1890"/>
      <c r="W62" s="1890"/>
      <c r="X62" s="1890"/>
      <c r="Y62" s="1890"/>
      <c r="Z62" s="1890"/>
      <c r="AA62" s="1890"/>
      <c r="AB62" s="1890"/>
      <c r="AC62" s="1890"/>
      <c r="AD62" s="1890"/>
      <c r="AE62" s="1890"/>
      <c r="AF62" s="1890"/>
      <c r="AG62" s="1890"/>
      <c r="AH62" s="1890"/>
      <c r="AI62" s="1890"/>
      <c r="AJ62" s="1890"/>
      <c r="AK62" s="1890"/>
      <c r="AL62" s="1891"/>
      <c r="AM62" s="1880"/>
      <c r="AN62" s="1881"/>
      <c r="AO62" s="1881"/>
      <c r="AP62" s="1881"/>
      <c r="AQ62" s="1881"/>
      <c r="AR62" s="1881"/>
      <c r="AS62" s="1881"/>
      <c r="AT62" s="1881"/>
      <c r="AU62" s="1881"/>
      <c r="AV62" s="1881"/>
      <c r="AW62" s="1881"/>
      <c r="AX62" s="1881"/>
      <c r="AY62" s="1881"/>
      <c r="AZ62" s="1882"/>
      <c r="BB62" s="1877" t="s">
        <v>172</v>
      </c>
      <c r="BC62" s="1878"/>
      <c r="BD62" s="1879"/>
      <c r="BE62" s="1886" t="s">
        <v>1365</v>
      </c>
      <c r="BF62" s="1887"/>
      <c r="BG62" s="1887"/>
      <c r="BH62" s="1887"/>
      <c r="BI62" s="1887"/>
      <c r="BJ62" s="1887"/>
      <c r="BK62" s="1887"/>
      <c r="BL62" s="1887"/>
      <c r="BM62" s="1887"/>
      <c r="BN62" s="1887"/>
      <c r="BO62" s="1887"/>
      <c r="BP62" s="1887"/>
      <c r="BQ62" s="1887"/>
      <c r="BR62" s="1887"/>
      <c r="BS62" s="1887"/>
      <c r="BT62" s="1887"/>
      <c r="BU62" s="1887"/>
      <c r="BV62" s="1887"/>
      <c r="BW62" s="1887"/>
      <c r="BX62" s="1887"/>
      <c r="BY62" s="1887"/>
      <c r="BZ62" s="1887"/>
      <c r="CA62" s="1887"/>
      <c r="CB62" s="1887"/>
      <c r="CC62" s="1887"/>
      <c r="CD62" s="1887"/>
      <c r="CE62" s="1887"/>
      <c r="CF62" s="1887"/>
      <c r="CG62" s="1887"/>
      <c r="CH62" s="1887"/>
      <c r="CI62" s="1887"/>
      <c r="CJ62" s="1887"/>
      <c r="CK62" s="1887"/>
      <c r="CL62" s="1887"/>
      <c r="CM62" s="1887"/>
      <c r="CN62" s="1887"/>
      <c r="CO62" s="1887"/>
      <c r="CP62" s="1887"/>
      <c r="CQ62" s="1887"/>
      <c r="CR62" s="1887"/>
      <c r="CS62" s="1887"/>
      <c r="CT62" s="1887"/>
      <c r="CU62" s="1887"/>
      <c r="CV62" s="1887"/>
      <c r="CW62" s="1887"/>
      <c r="CX62" s="1887"/>
      <c r="CY62" s="1887"/>
      <c r="CZ62" s="1887"/>
      <c r="DA62" s="1888"/>
    </row>
    <row r="63" spans="1:105" ht="13.5" thickBot="1">
      <c r="A63" s="1865"/>
      <c r="B63" s="1866"/>
      <c r="C63" s="1867"/>
      <c r="D63" s="1892"/>
      <c r="E63" s="1893"/>
      <c r="F63" s="1893"/>
      <c r="G63" s="1893"/>
      <c r="H63" s="1893"/>
      <c r="I63" s="1893"/>
      <c r="J63" s="1893"/>
      <c r="K63" s="1893"/>
      <c r="L63" s="1893"/>
      <c r="M63" s="1893"/>
      <c r="N63" s="1893"/>
      <c r="O63" s="1893"/>
      <c r="P63" s="1893"/>
      <c r="Q63" s="1893"/>
      <c r="R63" s="1893"/>
      <c r="S63" s="1893"/>
      <c r="T63" s="1893"/>
      <c r="U63" s="1893"/>
      <c r="V63" s="1893"/>
      <c r="W63" s="1893"/>
      <c r="X63" s="1893"/>
      <c r="Y63" s="1893"/>
      <c r="Z63" s="1893"/>
      <c r="AA63" s="1893"/>
      <c r="AB63" s="1893"/>
      <c r="AC63" s="1893"/>
      <c r="AD63" s="1893"/>
      <c r="AE63" s="1893"/>
      <c r="AF63" s="1893"/>
      <c r="AG63" s="1893"/>
      <c r="AH63" s="1893"/>
      <c r="AI63" s="1893"/>
      <c r="AJ63" s="1893"/>
      <c r="AK63" s="1893"/>
      <c r="AL63" s="1894"/>
      <c r="AM63" s="1883"/>
      <c r="AN63" s="1884"/>
      <c r="AO63" s="1884"/>
      <c r="AP63" s="1884"/>
      <c r="AQ63" s="1884"/>
      <c r="AR63" s="1884"/>
      <c r="AS63" s="1884"/>
      <c r="AT63" s="1884"/>
      <c r="AU63" s="1884"/>
      <c r="AV63" s="1884"/>
      <c r="AW63" s="1884"/>
      <c r="AX63" s="1884"/>
      <c r="AY63" s="1884"/>
      <c r="AZ63" s="1885"/>
      <c r="BB63" s="1880"/>
      <c r="BC63" s="1881"/>
      <c r="BD63" s="1882"/>
      <c r="BE63" s="1889"/>
      <c r="BF63" s="1890"/>
      <c r="BG63" s="1890"/>
      <c r="BH63" s="1890"/>
      <c r="BI63" s="1890"/>
      <c r="BJ63" s="1890"/>
      <c r="BK63" s="1890"/>
      <c r="BL63" s="1890"/>
      <c r="BM63" s="1890"/>
      <c r="BN63" s="1890"/>
      <c r="BO63" s="1890"/>
      <c r="BP63" s="1890"/>
      <c r="BQ63" s="1890"/>
      <c r="BR63" s="1890"/>
      <c r="BS63" s="1890"/>
      <c r="BT63" s="1890"/>
      <c r="BU63" s="1890"/>
      <c r="BV63" s="1890"/>
      <c r="BW63" s="1890"/>
      <c r="BX63" s="1890"/>
      <c r="BY63" s="1890"/>
      <c r="BZ63" s="1890"/>
      <c r="CA63" s="1890"/>
      <c r="CB63" s="1890"/>
      <c r="CC63" s="1890"/>
      <c r="CD63" s="1890"/>
      <c r="CE63" s="1890"/>
      <c r="CF63" s="1890"/>
      <c r="CG63" s="1890"/>
      <c r="CH63" s="1890"/>
      <c r="CI63" s="1890"/>
      <c r="CJ63" s="1890"/>
      <c r="CK63" s="1890"/>
      <c r="CL63" s="1890"/>
      <c r="CM63" s="1890"/>
      <c r="CN63" s="1890"/>
      <c r="CO63" s="1890"/>
      <c r="CP63" s="1890"/>
      <c r="CQ63" s="1890"/>
      <c r="CR63" s="1890"/>
      <c r="CS63" s="1890"/>
      <c r="CT63" s="1890"/>
      <c r="CU63" s="1890"/>
      <c r="CV63" s="1890"/>
      <c r="CW63" s="1890"/>
      <c r="CX63" s="1890"/>
      <c r="CY63" s="1890"/>
      <c r="CZ63" s="1890"/>
      <c r="DA63" s="1891"/>
    </row>
    <row r="64" spans="1:105" ht="13.5" thickBot="1">
      <c r="A64" s="1859">
        <v>13</v>
      </c>
      <c r="B64" s="1860"/>
      <c r="C64" s="1861"/>
      <c r="D64" s="1868" t="s">
        <v>1375</v>
      </c>
      <c r="E64" s="1869"/>
      <c r="F64" s="1869"/>
      <c r="G64" s="1869"/>
      <c r="H64" s="1869"/>
      <c r="I64" s="1869"/>
      <c r="J64" s="1869"/>
      <c r="K64" s="1869"/>
      <c r="L64" s="1869"/>
      <c r="M64" s="1869"/>
      <c r="N64" s="1869"/>
      <c r="O64" s="1869"/>
      <c r="P64" s="1869"/>
      <c r="Q64" s="1869"/>
      <c r="R64" s="1869"/>
      <c r="S64" s="1869"/>
      <c r="T64" s="1869"/>
      <c r="U64" s="1869"/>
      <c r="V64" s="1869"/>
      <c r="W64" s="1869"/>
      <c r="X64" s="1869"/>
      <c r="Y64" s="1869"/>
      <c r="Z64" s="1869"/>
      <c r="AA64" s="1869"/>
      <c r="AB64" s="1869"/>
      <c r="AC64" s="1869"/>
      <c r="AD64" s="1869"/>
      <c r="AE64" s="1869"/>
      <c r="AF64" s="1869"/>
      <c r="AG64" s="1869"/>
      <c r="AH64" s="1869"/>
      <c r="AI64" s="1869"/>
      <c r="AJ64" s="1869"/>
      <c r="AK64" s="1869"/>
      <c r="AL64" s="1870"/>
      <c r="AM64" s="1877" t="s">
        <v>194</v>
      </c>
      <c r="AN64" s="1878"/>
      <c r="AO64" s="1878"/>
      <c r="AP64" s="1878"/>
      <c r="AQ64" s="1878"/>
      <c r="AR64" s="1878"/>
      <c r="AS64" s="1878"/>
      <c r="AT64" s="1878"/>
      <c r="AU64" s="1878"/>
      <c r="AV64" s="1878"/>
      <c r="AW64" s="1878"/>
      <c r="AX64" s="1878"/>
      <c r="AY64" s="1878"/>
      <c r="AZ64" s="1879"/>
      <c r="BB64" s="1883"/>
      <c r="BC64" s="1884"/>
      <c r="BD64" s="1885"/>
      <c r="BE64" s="1892"/>
      <c r="BF64" s="1893"/>
      <c r="BG64" s="1893"/>
      <c r="BH64" s="1893"/>
      <c r="BI64" s="1893"/>
      <c r="BJ64" s="1893"/>
      <c r="BK64" s="1893"/>
      <c r="BL64" s="1893"/>
      <c r="BM64" s="1893"/>
      <c r="BN64" s="1893"/>
      <c r="BO64" s="1893"/>
      <c r="BP64" s="1893"/>
      <c r="BQ64" s="1893"/>
      <c r="BR64" s="1893"/>
      <c r="BS64" s="1893"/>
      <c r="BT64" s="1893"/>
      <c r="BU64" s="1893"/>
      <c r="BV64" s="1893"/>
      <c r="BW64" s="1893"/>
      <c r="BX64" s="1893"/>
      <c r="BY64" s="1893"/>
      <c r="BZ64" s="1893"/>
      <c r="CA64" s="1893"/>
      <c r="CB64" s="1893"/>
      <c r="CC64" s="1893"/>
      <c r="CD64" s="1893"/>
      <c r="CE64" s="1893"/>
      <c r="CF64" s="1893"/>
      <c r="CG64" s="1893"/>
      <c r="CH64" s="1893"/>
      <c r="CI64" s="1893"/>
      <c r="CJ64" s="1893"/>
      <c r="CK64" s="1893"/>
      <c r="CL64" s="1893"/>
      <c r="CM64" s="1893"/>
      <c r="CN64" s="1893"/>
      <c r="CO64" s="1893"/>
      <c r="CP64" s="1893"/>
      <c r="CQ64" s="1893"/>
      <c r="CR64" s="1893"/>
      <c r="CS64" s="1893"/>
      <c r="CT64" s="1893"/>
      <c r="CU64" s="1893"/>
      <c r="CV64" s="1893"/>
      <c r="CW64" s="1893"/>
      <c r="CX64" s="1893"/>
      <c r="CY64" s="1893"/>
      <c r="CZ64" s="1893"/>
      <c r="DA64" s="1894"/>
    </row>
    <row r="65" spans="1:105">
      <c r="A65" s="1862"/>
      <c r="B65" s="1863"/>
      <c r="C65" s="1864"/>
      <c r="D65" s="1871"/>
      <c r="E65" s="1872"/>
      <c r="F65" s="1872"/>
      <c r="G65" s="1872"/>
      <c r="H65" s="1872"/>
      <c r="I65" s="1872"/>
      <c r="J65" s="1872"/>
      <c r="K65" s="1872"/>
      <c r="L65" s="1872"/>
      <c r="M65" s="1872"/>
      <c r="N65" s="1872"/>
      <c r="O65" s="1872"/>
      <c r="P65" s="1872"/>
      <c r="Q65" s="1872"/>
      <c r="R65" s="1872"/>
      <c r="S65" s="1872"/>
      <c r="T65" s="1872"/>
      <c r="U65" s="1872"/>
      <c r="V65" s="1872"/>
      <c r="W65" s="1872"/>
      <c r="X65" s="1872"/>
      <c r="Y65" s="1872"/>
      <c r="Z65" s="1872"/>
      <c r="AA65" s="1872"/>
      <c r="AB65" s="1872"/>
      <c r="AC65" s="1872"/>
      <c r="AD65" s="1872"/>
      <c r="AE65" s="1872"/>
      <c r="AF65" s="1872"/>
      <c r="AG65" s="1872"/>
      <c r="AH65" s="1872"/>
      <c r="AI65" s="1872"/>
      <c r="AJ65" s="1872"/>
      <c r="AK65" s="1872"/>
      <c r="AL65" s="1873"/>
      <c r="AM65" s="1880"/>
      <c r="AN65" s="1881"/>
      <c r="AO65" s="1881"/>
      <c r="AP65" s="1881"/>
      <c r="AQ65" s="1881"/>
      <c r="AR65" s="1881"/>
      <c r="AS65" s="1881"/>
      <c r="AT65" s="1881"/>
      <c r="AU65" s="1881"/>
      <c r="AV65" s="1881"/>
      <c r="AW65" s="1881"/>
      <c r="AX65" s="1881"/>
      <c r="AY65" s="1881"/>
      <c r="AZ65" s="1882"/>
    </row>
    <row r="66" spans="1:105" ht="21" customHeight="1" thickBot="1">
      <c r="A66" s="1865"/>
      <c r="B66" s="1866"/>
      <c r="C66" s="1867"/>
      <c r="D66" s="1874"/>
      <c r="E66" s="1875"/>
      <c r="F66" s="1875"/>
      <c r="G66" s="1875"/>
      <c r="H66" s="1875"/>
      <c r="I66" s="1875"/>
      <c r="J66" s="1875"/>
      <c r="K66" s="1875"/>
      <c r="L66" s="1875"/>
      <c r="M66" s="1875"/>
      <c r="N66" s="1875"/>
      <c r="O66" s="1875"/>
      <c r="P66" s="1875"/>
      <c r="Q66" s="1875"/>
      <c r="R66" s="1875"/>
      <c r="S66" s="1875"/>
      <c r="T66" s="1875"/>
      <c r="U66" s="1875"/>
      <c r="V66" s="1875"/>
      <c r="W66" s="1875"/>
      <c r="X66" s="1875"/>
      <c r="Y66" s="1875"/>
      <c r="Z66" s="1875"/>
      <c r="AA66" s="1875"/>
      <c r="AB66" s="1875"/>
      <c r="AC66" s="1875"/>
      <c r="AD66" s="1875"/>
      <c r="AE66" s="1875"/>
      <c r="AF66" s="1875"/>
      <c r="AG66" s="1875"/>
      <c r="AH66" s="1875"/>
      <c r="AI66" s="1875"/>
      <c r="AJ66" s="1875"/>
      <c r="AK66" s="1875"/>
      <c r="AL66" s="1876"/>
      <c r="AM66" s="1883"/>
      <c r="AN66" s="1884"/>
      <c r="AO66" s="1884"/>
      <c r="AP66" s="1884"/>
      <c r="AQ66" s="1884"/>
      <c r="AR66" s="1884"/>
      <c r="AS66" s="1884"/>
      <c r="AT66" s="1884"/>
      <c r="AU66" s="1884"/>
      <c r="AV66" s="1884"/>
      <c r="AW66" s="1884"/>
      <c r="AX66" s="1884"/>
      <c r="AY66" s="1884"/>
      <c r="AZ66" s="1885"/>
    </row>
    <row r="67" spans="1:105" ht="12.75" customHeight="1">
      <c r="A67" s="1859">
        <v>14</v>
      </c>
      <c r="B67" s="1860"/>
      <c r="C67" s="1861"/>
      <c r="D67" s="1868" t="s">
        <v>1376</v>
      </c>
      <c r="E67" s="1869"/>
      <c r="F67" s="1869"/>
      <c r="G67" s="1869"/>
      <c r="H67" s="1869"/>
      <c r="I67" s="1869"/>
      <c r="J67" s="1869"/>
      <c r="K67" s="1869"/>
      <c r="L67" s="1869"/>
      <c r="M67" s="1869"/>
      <c r="N67" s="1869"/>
      <c r="O67" s="1869"/>
      <c r="P67" s="1869"/>
      <c r="Q67" s="1869"/>
      <c r="R67" s="1869"/>
      <c r="S67" s="1869"/>
      <c r="T67" s="1869"/>
      <c r="U67" s="1869"/>
      <c r="V67" s="1869"/>
      <c r="W67" s="1869"/>
      <c r="X67" s="1869"/>
      <c r="Y67" s="1869"/>
      <c r="Z67" s="1869"/>
      <c r="AA67" s="1869"/>
      <c r="AB67" s="1869"/>
      <c r="AC67" s="1869"/>
      <c r="AD67" s="1869"/>
      <c r="AE67" s="1869"/>
      <c r="AF67" s="1869"/>
      <c r="AG67" s="1869"/>
      <c r="AH67" s="1869"/>
      <c r="AI67" s="1869"/>
      <c r="AJ67" s="1869"/>
      <c r="AK67" s="1869"/>
      <c r="AL67" s="1870"/>
      <c r="AM67" s="1877" t="s">
        <v>197</v>
      </c>
      <c r="AN67" s="1878"/>
      <c r="AO67" s="1878"/>
      <c r="AP67" s="1878"/>
      <c r="AQ67" s="1878"/>
      <c r="AR67" s="1878"/>
      <c r="AS67" s="1878"/>
      <c r="AT67" s="1878"/>
      <c r="AU67" s="1878"/>
      <c r="AV67" s="1878"/>
      <c r="AW67" s="1878"/>
      <c r="AX67" s="1878"/>
      <c r="AY67" s="1878"/>
      <c r="AZ67" s="1879"/>
      <c r="BB67" s="1895" t="s">
        <v>1389</v>
      </c>
      <c r="BC67" s="1896"/>
      <c r="BD67" s="1896"/>
      <c r="BE67" s="1896"/>
      <c r="BF67" s="1896"/>
      <c r="BG67" s="1896"/>
      <c r="BH67" s="1896"/>
      <c r="BI67" s="1896"/>
      <c r="BJ67" s="1896"/>
      <c r="BK67" s="1896"/>
      <c r="BL67" s="1896"/>
      <c r="BM67" s="1896"/>
      <c r="BN67" s="1896"/>
      <c r="BO67" s="1896"/>
      <c r="BP67" s="1896"/>
      <c r="BQ67" s="1896"/>
      <c r="BR67" s="1896"/>
      <c r="BS67" s="1896"/>
      <c r="BT67" s="1896"/>
      <c r="BU67" s="1896"/>
      <c r="BV67" s="1896"/>
      <c r="BW67" s="1896"/>
      <c r="BX67" s="1896"/>
      <c r="BY67" s="1896"/>
      <c r="BZ67" s="1896"/>
      <c r="CA67" s="1896"/>
      <c r="CB67" s="1896"/>
      <c r="CC67" s="1896"/>
      <c r="CD67" s="1896"/>
      <c r="CE67" s="1896"/>
      <c r="CF67" s="1896"/>
      <c r="CG67" s="1896"/>
      <c r="CH67" s="1896"/>
      <c r="CI67" s="1896"/>
      <c r="CJ67" s="1896"/>
      <c r="CK67" s="1896"/>
      <c r="CL67" s="1896"/>
      <c r="CM67" s="1896"/>
      <c r="CN67" s="1896"/>
      <c r="CO67" s="1896"/>
      <c r="CP67" s="1896"/>
      <c r="CQ67" s="1896"/>
      <c r="CR67" s="1896"/>
      <c r="CS67" s="1896"/>
      <c r="CT67" s="1896"/>
      <c r="CU67" s="1896"/>
      <c r="CV67" s="1896"/>
      <c r="CW67" s="1896"/>
      <c r="CX67" s="1896"/>
      <c r="CY67" s="1896"/>
      <c r="CZ67" s="1896"/>
      <c r="DA67" s="1897"/>
    </row>
    <row r="68" spans="1:105" ht="12.75" customHeight="1">
      <c r="A68" s="1862"/>
      <c r="B68" s="1863"/>
      <c r="C68" s="1864"/>
      <c r="D68" s="1871"/>
      <c r="E68" s="1872"/>
      <c r="F68" s="1872"/>
      <c r="G68" s="1872"/>
      <c r="H68" s="1872"/>
      <c r="I68" s="1872"/>
      <c r="J68" s="1872"/>
      <c r="K68" s="1872"/>
      <c r="L68" s="1872"/>
      <c r="M68" s="1872"/>
      <c r="N68" s="1872"/>
      <c r="O68" s="1872"/>
      <c r="P68" s="1872"/>
      <c r="Q68" s="1872"/>
      <c r="R68" s="1872"/>
      <c r="S68" s="1872"/>
      <c r="T68" s="1872"/>
      <c r="U68" s="1872"/>
      <c r="V68" s="1872"/>
      <c r="W68" s="1872"/>
      <c r="X68" s="1872"/>
      <c r="Y68" s="1872"/>
      <c r="Z68" s="1872"/>
      <c r="AA68" s="1872"/>
      <c r="AB68" s="1872"/>
      <c r="AC68" s="1872"/>
      <c r="AD68" s="1872"/>
      <c r="AE68" s="1872"/>
      <c r="AF68" s="1872"/>
      <c r="AG68" s="1872"/>
      <c r="AH68" s="1872"/>
      <c r="AI68" s="1872"/>
      <c r="AJ68" s="1872"/>
      <c r="AK68" s="1872"/>
      <c r="AL68" s="1873"/>
      <c r="AM68" s="1880"/>
      <c r="AN68" s="1881"/>
      <c r="AO68" s="1881"/>
      <c r="AP68" s="1881"/>
      <c r="AQ68" s="1881"/>
      <c r="AR68" s="1881"/>
      <c r="AS68" s="1881"/>
      <c r="AT68" s="1881"/>
      <c r="AU68" s="1881"/>
      <c r="AV68" s="1881"/>
      <c r="AW68" s="1881"/>
      <c r="AX68" s="1881"/>
      <c r="AY68" s="1881"/>
      <c r="AZ68" s="1882"/>
      <c r="BB68" s="1898"/>
      <c r="BC68" s="1899"/>
      <c r="BD68" s="1899"/>
      <c r="BE68" s="1899"/>
      <c r="BF68" s="1899"/>
      <c r="BG68" s="1899"/>
      <c r="BH68" s="1899"/>
      <c r="BI68" s="1899"/>
      <c r="BJ68" s="1899"/>
      <c r="BK68" s="1899"/>
      <c r="BL68" s="1899"/>
      <c r="BM68" s="1899"/>
      <c r="BN68" s="1899"/>
      <c r="BO68" s="1899"/>
      <c r="BP68" s="1899"/>
      <c r="BQ68" s="1899"/>
      <c r="BR68" s="1899"/>
      <c r="BS68" s="1899"/>
      <c r="BT68" s="1899"/>
      <c r="BU68" s="1899"/>
      <c r="BV68" s="1899"/>
      <c r="BW68" s="1899"/>
      <c r="BX68" s="1899"/>
      <c r="BY68" s="1899"/>
      <c r="BZ68" s="1899"/>
      <c r="CA68" s="1899"/>
      <c r="CB68" s="1899"/>
      <c r="CC68" s="1899"/>
      <c r="CD68" s="1899"/>
      <c r="CE68" s="1899"/>
      <c r="CF68" s="1899"/>
      <c r="CG68" s="1899"/>
      <c r="CH68" s="1899"/>
      <c r="CI68" s="1899"/>
      <c r="CJ68" s="1899"/>
      <c r="CK68" s="1899"/>
      <c r="CL68" s="1899"/>
      <c r="CM68" s="1899"/>
      <c r="CN68" s="1899"/>
      <c r="CO68" s="1899"/>
      <c r="CP68" s="1899"/>
      <c r="CQ68" s="1899"/>
      <c r="CR68" s="1899"/>
      <c r="CS68" s="1899"/>
      <c r="CT68" s="1899"/>
      <c r="CU68" s="1899"/>
      <c r="CV68" s="1899"/>
      <c r="CW68" s="1899"/>
      <c r="CX68" s="1899"/>
      <c r="CY68" s="1899"/>
      <c r="CZ68" s="1899"/>
      <c r="DA68" s="1900"/>
    </row>
    <row r="69" spans="1:105" ht="21.75" customHeight="1" thickBot="1">
      <c r="A69" s="1865"/>
      <c r="B69" s="1866"/>
      <c r="C69" s="1867"/>
      <c r="D69" s="1874"/>
      <c r="E69" s="1875"/>
      <c r="F69" s="1875"/>
      <c r="G69" s="1875"/>
      <c r="H69" s="1875"/>
      <c r="I69" s="1875"/>
      <c r="J69" s="1875"/>
      <c r="K69" s="1875"/>
      <c r="L69" s="1875"/>
      <c r="M69" s="1875"/>
      <c r="N69" s="1875"/>
      <c r="O69" s="1875"/>
      <c r="P69" s="1875"/>
      <c r="Q69" s="1875"/>
      <c r="R69" s="1875"/>
      <c r="S69" s="1875"/>
      <c r="T69" s="1875"/>
      <c r="U69" s="1875"/>
      <c r="V69" s="1875"/>
      <c r="W69" s="1875"/>
      <c r="X69" s="1875"/>
      <c r="Y69" s="1875"/>
      <c r="Z69" s="1875"/>
      <c r="AA69" s="1875"/>
      <c r="AB69" s="1875"/>
      <c r="AC69" s="1875"/>
      <c r="AD69" s="1875"/>
      <c r="AE69" s="1875"/>
      <c r="AF69" s="1875"/>
      <c r="AG69" s="1875"/>
      <c r="AH69" s="1875"/>
      <c r="AI69" s="1875"/>
      <c r="AJ69" s="1875"/>
      <c r="AK69" s="1875"/>
      <c r="AL69" s="1876"/>
      <c r="AM69" s="1883"/>
      <c r="AN69" s="1884"/>
      <c r="AO69" s="1884"/>
      <c r="AP69" s="1884"/>
      <c r="AQ69" s="1884"/>
      <c r="AR69" s="1884"/>
      <c r="AS69" s="1884"/>
      <c r="AT69" s="1884"/>
      <c r="AU69" s="1884"/>
      <c r="AV69" s="1884"/>
      <c r="AW69" s="1884"/>
      <c r="AX69" s="1884"/>
      <c r="AY69" s="1884"/>
      <c r="AZ69" s="1885"/>
      <c r="BB69" s="1901"/>
      <c r="BC69" s="1902"/>
      <c r="BD69" s="1902"/>
      <c r="BE69" s="1902"/>
      <c r="BF69" s="1902"/>
      <c r="BG69" s="1902"/>
      <c r="BH69" s="1902"/>
      <c r="BI69" s="1902"/>
      <c r="BJ69" s="1902"/>
      <c r="BK69" s="1902"/>
      <c r="BL69" s="1902"/>
      <c r="BM69" s="1902"/>
      <c r="BN69" s="1902"/>
      <c r="BO69" s="1902"/>
      <c r="BP69" s="1902"/>
      <c r="BQ69" s="1902"/>
      <c r="BR69" s="1902"/>
      <c r="BS69" s="1902"/>
      <c r="BT69" s="1902"/>
      <c r="BU69" s="1902"/>
      <c r="BV69" s="1902"/>
      <c r="BW69" s="1902"/>
      <c r="BX69" s="1902"/>
      <c r="BY69" s="1902"/>
      <c r="BZ69" s="1902"/>
      <c r="CA69" s="1902"/>
      <c r="CB69" s="1902"/>
      <c r="CC69" s="1902"/>
      <c r="CD69" s="1902"/>
      <c r="CE69" s="1902"/>
      <c r="CF69" s="1902"/>
      <c r="CG69" s="1902"/>
      <c r="CH69" s="1902"/>
      <c r="CI69" s="1902"/>
      <c r="CJ69" s="1902"/>
      <c r="CK69" s="1902"/>
      <c r="CL69" s="1902"/>
      <c r="CM69" s="1902"/>
      <c r="CN69" s="1902"/>
      <c r="CO69" s="1902"/>
      <c r="CP69" s="1902"/>
      <c r="CQ69" s="1902"/>
      <c r="CR69" s="1902"/>
      <c r="CS69" s="1902"/>
      <c r="CT69" s="1902"/>
      <c r="CU69" s="1902"/>
      <c r="CV69" s="1902"/>
      <c r="CW69" s="1902"/>
      <c r="CX69" s="1902"/>
      <c r="CY69" s="1902"/>
      <c r="CZ69" s="1902"/>
      <c r="DA69" s="1903"/>
    </row>
    <row r="70" spans="1:105" ht="12.75" customHeight="1">
      <c r="A70" s="1859">
        <v>15</v>
      </c>
      <c r="B70" s="1860"/>
      <c r="C70" s="1861"/>
      <c r="D70" s="1868" t="s">
        <v>1377</v>
      </c>
      <c r="E70" s="1869"/>
      <c r="F70" s="1869"/>
      <c r="G70" s="1869"/>
      <c r="H70" s="1869"/>
      <c r="I70" s="1869"/>
      <c r="J70" s="1869"/>
      <c r="K70" s="1869"/>
      <c r="L70" s="1869"/>
      <c r="M70" s="1869"/>
      <c r="N70" s="1869"/>
      <c r="O70" s="1869"/>
      <c r="P70" s="1869"/>
      <c r="Q70" s="1869"/>
      <c r="R70" s="1869"/>
      <c r="S70" s="1869"/>
      <c r="T70" s="1869"/>
      <c r="U70" s="1869"/>
      <c r="V70" s="1869"/>
      <c r="W70" s="1869"/>
      <c r="X70" s="1869"/>
      <c r="Y70" s="1869"/>
      <c r="Z70" s="1869"/>
      <c r="AA70" s="1869"/>
      <c r="AB70" s="1869"/>
      <c r="AC70" s="1869"/>
      <c r="AD70" s="1869"/>
      <c r="AE70" s="1869"/>
      <c r="AF70" s="1869"/>
      <c r="AG70" s="1869"/>
      <c r="AH70" s="1869"/>
      <c r="AI70" s="1869"/>
      <c r="AJ70" s="1869"/>
      <c r="AK70" s="1869"/>
      <c r="AL70" s="1870"/>
      <c r="AM70" s="1877" t="s">
        <v>198</v>
      </c>
      <c r="AN70" s="1878"/>
      <c r="AO70" s="1878"/>
      <c r="AP70" s="1878"/>
      <c r="AQ70" s="1878"/>
      <c r="AR70" s="1878"/>
      <c r="AS70" s="1878"/>
      <c r="AT70" s="1878"/>
      <c r="AU70" s="1878"/>
      <c r="AV70" s="1878"/>
      <c r="AW70" s="1878"/>
      <c r="AX70" s="1878"/>
      <c r="AY70" s="1878"/>
      <c r="AZ70" s="1879"/>
      <c r="BB70" s="1859" t="s">
        <v>1334</v>
      </c>
      <c r="BC70" s="1860"/>
      <c r="BD70" s="1860"/>
      <c r="BE70" s="1860"/>
      <c r="BF70" s="1860"/>
      <c r="BG70" s="1860"/>
      <c r="BH70" s="1860"/>
      <c r="BI70" s="1860"/>
      <c r="BJ70" s="1860"/>
      <c r="BK70" s="1860"/>
      <c r="BL70" s="1868" t="s">
        <v>1366</v>
      </c>
      <c r="BM70" s="1869"/>
      <c r="BN70" s="1869"/>
      <c r="BO70" s="1869"/>
      <c r="BP70" s="1869"/>
      <c r="BQ70" s="1869"/>
      <c r="BR70" s="1869"/>
      <c r="BS70" s="1869"/>
      <c r="BT70" s="1869"/>
      <c r="BU70" s="1869"/>
      <c r="BV70" s="1869"/>
      <c r="BW70" s="1869"/>
      <c r="BX70" s="1869"/>
      <c r="BY70" s="1869"/>
      <c r="BZ70" s="1869"/>
      <c r="CA70" s="1869"/>
      <c r="CB70" s="1869"/>
      <c r="CC70" s="1869"/>
      <c r="CD70" s="1869"/>
      <c r="CE70" s="1869"/>
      <c r="CF70" s="1869"/>
      <c r="CG70" s="1869"/>
      <c r="CH70" s="1869"/>
      <c r="CI70" s="1869"/>
      <c r="CJ70" s="1869"/>
      <c r="CK70" s="1869"/>
      <c r="CL70" s="1869"/>
      <c r="CM70" s="1869"/>
      <c r="CN70" s="1869"/>
      <c r="CO70" s="1869"/>
      <c r="CP70" s="1869"/>
      <c r="CQ70" s="1869"/>
      <c r="CR70" s="1869"/>
      <c r="CS70" s="1869"/>
      <c r="CT70" s="1869"/>
      <c r="CU70" s="1869"/>
      <c r="CV70" s="1869"/>
      <c r="CW70" s="1869"/>
      <c r="CX70" s="1869"/>
      <c r="CY70" s="1869"/>
      <c r="CZ70" s="1869"/>
      <c r="DA70" s="1870"/>
    </row>
    <row r="71" spans="1:105" ht="12.75" customHeight="1">
      <c r="A71" s="1862"/>
      <c r="B71" s="1863"/>
      <c r="C71" s="1864"/>
      <c r="D71" s="1871"/>
      <c r="E71" s="1872"/>
      <c r="F71" s="1872"/>
      <c r="G71" s="1872"/>
      <c r="H71" s="1872"/>
      <c r="I71" s="1872"/>
      <c r="J71" s="1872"/>
      <c r="K71" s="1872"/>
      <c r="L71" s="1872"/>
      <c r="M71" s="1872"/>
      <c r="N71" s="1872"/>
      <c r="O71" s="1872"/>
      <c r="P71" s="1872"/>
      <c r="Q71" s="1872"/>
      <c r="R71" s="1872"/>
      <c r="S71" s="1872"/>
      <c r="T71" s="1872"/>
      <c r="U71" s="1872"/>
      <c r="V71" s="1872"/>
      <c r="W71" s="1872"/>
      <c r="X71" s="1872"/>
      <c r="Y71" s="1872"/>
      <c r="Z71" s="1872"/>
      <c r="AA71" s="1872"/>
      <c r="AB71" s="1872"/>
      <c r="AC71" s="1872"/>
      <c r="AD71" s="1872"/>
      <c r="AE71" s="1872"/>
      <c r="AF71" s="1872"/>
      <c r="AG71" s="1872"/>
      <c r="AH71" s="1872"/>
      <c r="AI71" s="1872"/>
      <c r="AJ71" s="1872"/>
      <c r="AK71" s="1872"/>
      <c r="AL71" s="1873"/>
      <c r="AM71" s="1880"/>
      <c r="AN71" s="1881"/>
      <c r="AO71" s="1881"/>
      <c r="AP71" s="1881"/>
      <c r="AQ71" s="1881"/>
      <c r="AR71" s="1881"/>
      <c r="AS71" s="1881"/>
      <c r="AT71" s="1881"/>
      <c r="AU71" s="1881"/>
      <c r="AV71" s="1881"/>
      <c r="AW71" s="1881"/>
      <c r="AX71" s="1881"/>
      <c r="AY71" s="1881"/>
      <c r="AZ71" s="1882"/>
      <c r="BB71" s="1862"/>
      <c r="BC71" s="1863"/>
      <c r="BD71" s="1863"/>
      <c r="BE71" s="1863"/>
      <c r="BF71" s="1863"/>
      <c r="BG71" s="1863"/>
      <c r="BH71" s="1863"/>
      <c r="BI71" s="1863"/>
      <c r="BJ71" s="1863"/>
      <c r="BK71" s="1863"/>
      <c r="BL71" s="1871"/>
      <c r="BM71" s="1872"/>
      <c r="BN71" s="1872"/>
      <c r="BO71" s="1872"/>
      <c r="BP71" s="1872"/>
      <c r="BQ71" s="1872"/>
      <c r="BR71" s="1872"/>
      <c r="BS71" s="1872"/>
      <c r="BT71" s="1872"/>
      <c r="BU71" s="1872"/>
      <c r="BV71" s="1872"/>
      <c r="BW71" s="1872"/>
      <c r="BX71" s="1872"/>
      <c r="BY71" s="1872"/>
      <c r="BZ71" s="1872"/>
      <c r="CA71" s="1872"/>
      <c r="CB71" s="1872"/>
      <c r="CC71" s="1872"/>
      <c r="CD71" s="1872"/>
      <c r="CE71" s="1872"/>
      <c r="CF71" s="1872"/>
      <c r="CG71" s="1872"/>
      <c r="CH71" s="1872"/>
      <c r="CI71" s="1872"/>
      <c r="CJ71" s="1872"/>
      <c r="CK71" s="1872"/>
      <c r="CL71" s="1872"/>
      <c r="CM71" s="1872"/>
      <c r="CN71" s="1872"/>
      <c r="CO71" s="1872"/>
      <c r="CP71" s="1872"/>
      <c r="CQ71" s="1872"/>
      <c r="CR71" s="1872"/>
      <c r="CS71" s="1872"/>
      <c r="CT71" s="1872"/>
      <c r="CU71" s="1872"/>
      <c r="CV71" s="1872"/>
      <c r="CW71" s="1872"/>
      <c r="CX71" s="1872"/>
      <c r="CY71" s="1872"/>
      <c r="CZ71" s="1872"/>
      <c r="DA71" s="1873"/>
    </row>
    <row r="72" spans="1:105" ht="23.25" customHeight="1" thickBot="1">
      <c r="A72" s="1865"/>
      <c r="B72" s="1866"/>
      <c r="C72" s="1867"/>
      <c r="D72" s="1874"/>
      <c r="E72" s="1875"/>
      <c r="F72" s="1875"/>
      <c r="G72" s="1875"/>
      <c r="H72" s="1875"/>
      <c r="I72" s="1875"/>
      <c r="J72" s="1875"/>
      <c r="K72" s="1875"/>
      <c r="L72" s="1875"/>
      <c r="M72" s="1875"/>
      <c r="N72" s="1875"/>
      <c r="O72" s="1875"/>
      <c r="P72" s="1875"/>
      <c r="Q72" s="1875"/>
      <c r="R72" s="1875"/>
      <c r="S72" s="1875"/>
      <c r="T72" s="1875"/>
      <c r="U72" s="1875"/>
      <c r="V72" s="1875"/>
      <c r="W72" s="1875"/>
      <c r="X72" s="1875"/>
      <c r="Y72" s="1875"/>
      <c r="Z72" s="1875"/>
      <c r="AA72" s="1875"/>
      <c r="AB72" s="1875"/>
      <c r="AC72" s="1875"/>
      <c r="AD72" s="1875"/>
      <c r="AE72" s="1875"/>
      <c r="AF72" s="1875"/>
      <c r="AG72" s="1875"/>
      <c r="AH72" s="1875"/>
      <c r="AI72" s="1875"/>
      <c r="AJ72" s="1875"/>
      <c r="AK72" s="1875"/>
      <c r="AL72" s="1876"/>
      <c r="AM72" s="1883"/>
      <c r="AN72" s="1884"/>
      <c r="AO72" s="1884"/>
      <c r="AP72" s="1884"/>
      <c r="AQ72" s="1884"/>
      <c r="AR72" s="1884"/>
      <c r="AS72" s="1884"/>
      <c r="AT72" s="1884"/>
      <c r="AU72" s="1884"/>
      <c r="AV72" s="1884"/>
      <c r="AW72" s="1884"/>
      <c r="AX72" s="1884"/>
      <c r="AY72" s="1884"/>
      <c r="AZ72" s="1885"/>
      <c r="BB72" s="1865"/>
      <c r="BC72" s="1866"/>
      <c r="BD72" s="1866"/>
      <c r="BE72" s="1866"/>
      <c r="BF72" s="1866"/>
      <c r="BG72" s="1866"/>
      <c r="BH72" s="1866"/>
      <c r="BI72" s="1866"/>
      <c r="BJ72" s="1866"/>
      <c r="BK72" s="1866"/>
      <c r="BL72" s="1874"/>
      <c r="BM72" s="1875"/>
      <c r="BN72" s="1875"/>
      <c r="BO72" s="1875"/>
      <c r="BP72" s="1875"/>
      <c r="BQ72" s="1875"/>
      <c r="BR72" s="1875"/>
      <c r="BS72" s="1875"/>
      <c r="BT72" s="1875"/>
      <c r="BU72" s="1875"/>
      <c r="BV72" s="1875"/>
      <c r="BW72" s="1875"/>
      <c r="BX72" s="1875"/>
      <c r="BY72" s="1875"/>
      <c r="BZ72" s="1875"/>
      <c r="CA72" s="1875"/>
      <c r="CB72" s="1875"/>
      <c r="CC72" s="1875"/>
      <c r="CD72" s="1875"/>
      <c r="CE72" s="1875"/>
      <c r="CF72" s="1875"/>
      <c r="CG72" s="1875"/>
      <c r="CH72" s="1875"/>
      <c r="CI72" s="1875"/>
      <c r="CJ72" s="1875"/>
      <c r="CK72" s="1875"/>
      <c r="CL72" s="1875"/>
      <c r="CM72" s="1875"/>
      <c r="CN72" s="1875"/>
      <c r="CO72" s="1875"/>
      <c r="CP72" s="1875"/>
      <c r="CQ72" s="1875"/>
      <c r="CR72" s="1875"/>
      <c r="CS72" s="1875"/>
      <c r="CT72" s="1875"/>
      <c r="CU72" s="1875"/>
      <c r="CV72" s="1875"/>
      <c r="CW72" s="1875"/>
      <c r="CX72" s="1875"/>
      <c r="CY72" s="1875"/>
      <c r="CZ72" s="1875"/>
      <c r="DA72" s="1876"/>
    </row>
    <row r="73" spans="1:105" ht="12.75" customHeight="1">
      <c r="A73" s="1859">
        <v>16</v>
      </c>
      <c r="B73" s="1860"/>
      <c r="C73" s="1861"/>
      <c r="D73" s="1868" t="s">
        <v>1378</v>
      </c>
      <c r="E73" s="1869"/>
      <c r="F73" s="1869"/>
      <c r="G73" s="1869"/>
      <c r="H73" s="1869"/>
      <c r="I73" s="1869"/>
      <c r="J73" s="1869"/>
      <c r="K73" s="1869"/>
      <c r="L73" s="1869"/>
      <c r="M73" s="1869"/>
      <c r="N73" s="1869"/>
      <c r="O73" s="1869"/>
      <c r="P73" s="1869"/>
      <c r="Q73" s="1869"/>
      <c r="R73" s="1869"/>
      <c r="S73" s="1869"/>
      <c r="T73" s="1869"/>
      <c r="U73" s="1869"/>
      <c r="V73" s="1869"/>
      <c r="W73" s="1869"/>
      <c r="X73" s="1869"/>
      <c r="Y73" s="1869"/>
      <c r="Z73" s="1869"/>
      <c r="AA73" s="1869"/>
      <c r="AB73" s="1869"/>
      <c r="AC73" s="1869"/>
      <c r="AD73" s="1869"/>
      <c r="AE73" s="1869"/>
      <c r="AF73" s="1869"/>
      <c r="AG73" s="1869"/>
      <c r="AH73" s="1869"/>
      <c r="AI73" s="1869"/>
      <c r="AJ73" s="1869"/>
      <c r="AK73" s="1869"/>
      <c r="AL73" s="1870"/>
      <c r="AM73" s="1922" t="s">
        <v>1386</v>
      </c>
      <c r="AN73" s="1923"/>
      <c r="AO73" s="1923"/>
      <c r="AP73" s="1923"/>
      <c r="AQ73" s="1923"/>
      <c r="AR73" s="1923"/>
      <c r="AS73" s="1923"/>
      <c r="AT73" s="1923"/>
      <c r="AU73" s="1923"/>
      <c r="AV73" s="1923"/>
      <c r="AW73" s="1923"/>
      <c r="AX73" s="1923"/>
      <c r="AY73" s="1923"/>
      <c r="AZ73" s="1924"/>
      <c r="BB73" s="1859" t="s">
        <v>1335</v>
      </c>
      <c r="BC73" s="1860"/>
      <c r="BD73" s="1860"/>
      <c r="BE73" s="1860"/>
      <c r="BF73" s="1860"/>
      <c r="BG73" s="1860"/>
      <c r="BH73" s="1860"/>
      <c r="BI73" s="1860"/>
      <c r="BJ73" s="1860"/>
      <c r="BK73" s="1861"/>
      <c r="BL73" s="1868" t="s">
        <v>1367</v>
      </c>
      <c r="BM73" s="1869"/>
      <c r="BN73" s="1869"/>
      <c r="BO73" s="1869"/>
      <c r="BP73" s="1869"/>
      <c r="BQ73" s="1869"/>
      <c r="BR73" s="1869"/>
      <c r="BS73" s="1869"/>
      <c r="BT73" s="1869"/>
      <c r="BU73" s="1869"/>
      <c r="BV73" s="1869"/>
      <c r="BW73" s="1869"/>
      <c r="BX73" s="1869"/>
      <c r="BY73" s="1869"/>
      <c r="BZ73" s="1869"/>
      <c r="CA73" s="1869"/>
      <c r="CB73" s="1869"/>
      <c r="CC73" s="1869"/>
      <c r="CD73" s="1869"/>
      <c r="CE73" s="1869"/>
      <c r="CF73" s="1869"/>
      <c r="CG73" s="1869"/>
      <c r="CH73" s="1869"/>
      <c r="CI73" s="1869"/>
      <c r="CJ73" s="1869"/>
      <c r="CK73" s="1869"/>
      <c r="CL73" s="1869"/>
      <c r="CM73" s="1869"/>
      <c r="CN73" s="1869"/>
      <c r="CO73" s="1869"/>
      <c r="CP73" s="1869"/>
      <c r="CQ73" s="1869"/>
      <c r="CR73" s="1869"/>
      <c r="CS73" s="1869"/>
      <c r="CT73" s="1869"/>
      <c r="CU73" s="1869"/>
      <c r="CV73" s="1869"/>
      <c r="CW73" s="1869"/>
      <c r="CX73" s="1869"/>
      <c r="CY73" s="1869"/>
      <c r="CZ73" s="1869"/>
      <c r="DA73" s="1870"/>
    </row>
    <row r="74" spans="1:105" ht="12.75" customHeight="1">
      <c r="A74" s="1862"/>
      <c r="B74" s="1863"/>
      <c r="C74" s="1864"/>
      <c r="D74" s="1871"/>
      <c r="E74" s="1872"/>
      <c r="F74" s="1872"/>
      <c r="G74" s="1872"/>
      <c r="H74" s="1872"/>
      <c r="I74" s="1872"/>
      <c r="J74" s="1872"/>
      <c r="K74" s="1872"/>
      <c r="L74" s="1872"/>
      <c r="M74" s="1872"/>
      <c r="N74" s="1872"/>
      <c r="O74" s="1872"/>
      <c r="P74" s="1872"/>
      <c r="Q74" s="1872"/>
      <c r="R74" s="1872"/>
      <c r="S74" s="1872"/>
      <c r="T74" s="1872"/>
      <c r="U74" s="1872"/>
      <c r="V74" s="1872"/>
      <c r="W74" s="1872"/>
      <c r="X74" s="1872"/>
      <c r="Y74" s="1872"/>
      <c r="Z74" s="1872"/>
      <c r="AA74" s="1872"/>
      <c r="AB74" s="1872"/>
      <c r="AC74" s="1872"/>
      <c r="AD74" s="1872"/>
      <c r="AE74" s="1872"/>
      <c r="AF74" s="1872"/>
      <c r="AG74" s="1872"/>
      <c r="AH74" s="1872"/>
      <c r="AI74" s="1872"/>
      <c r="AJ74" s="1872"/>
      <c r="AK74" s="1872"/>
      <c r="AL74" s="1873"/>
      <c r="AM74" s="1925"/>
      <c r="AN74" s="1926"/>
      <c r="AO74" s="1926"/>
      <c r="AP74" s="1926"/>
      <c r="AQ74" s="1926"/>
      <c r="AR74" s="1926"/>
      <c r="AS74" s="1926"/>
      <c r="AT74" s="1926"/>
      <c r="AU74" s="1926"/>
      <c r="AV74" s="1926"/>
      <c r="AW74" s="1926"/>
      <c r="AX74" s="1926"/>
      <c r="AY74" s="1926"/>
      <c r="AZ74" s="1927"/>
      <c r="BB74" s="1862"/>
      <c r="BC74" s="1863"/>
      <c r="BD74" s="1863"/>
      <c r="BE74" s="1863"/>
      <c r="BF74" s="1863"/>
      <c r="BG74" s="1863"/>
      <c r="BH74" s="1863"/>
      <c r="BI74" s="1863"/>
      <c r="BJ74" s="1863"/>
      <c r="BK74" s="1864"/>
      <c r="BL74" s="1871"/>
      <c r="BM74" s="1872"/>
      <c r="BN74" s="1872"/>
      <c r="BO74" s="1872"/>
      <c r="BP74" s="1872"/>
      <c r="BQ74" s="1872"/>
      <c r="BR74" s="1872"/>
      <c r="BS74" s="1872"/>
      <c r="BT74" s="1872"/>
      <c r="BU74" s="1872"/>
      <c r="BV74" s="1872"/>
      <c r="BW74" s="1872"/>
      <c r="BX74" s="1872"/>
      <c r="BY74" s="1872"/>
      <c r="BZ74" s="1872"/>
      <c r="CA74" s="1872"/>
      <c r="CB74" s="1872"/>
      <c r="CC74" s="1872"/>
      <c r="CD74" s="1872"/>
      <c r="CE74" s="1872"/>
      <c r="CF74" s="1872"/>
      <c r="CG74" s="1872"/>
      <c r="CH74" s="1872"/>
      <c r="CI74" s="1872"/>
      <c r="CJ74" s="1872"/>
      <c r="CK74" s="1872"/>
      <c r="CL74" s="1872"/>
      <c r="CM74" s="1872"/>
      <c r="CN74" s="1872"/>
      <c r="CO74" s="1872"/>
      <c r="CP74" s="1872"/>
      <c r="CQ74" s="1872"/>
      <c r="CR74" s="1872"/>
      <c r="CS74" s="1872"/>
      <c r="CT74" s="1872"/>
      <c r="CU74" s="1872"/>
      <c r="CV74" s="1872"/>
      <c r="CW74" s="1872"/>
      <c r="CX74" s="1872"/>
      <c r="CY74" s="1872"/>
      <c r="CZ74" s="1872"/>
      <c r="DA74" s="1873"/>
    </row>
    <row r="75" spans="1:105" ht="13.5" customHeight="1">
      <c r="A75" s="1862"/>
      <c r="B75" s="1863"/>
      <c r="C75" s="1864"/>
      <c r="D75" s="1871"/>
      <c r="E75" s="1872"/>
      <c r="F75" s="1872"/>
      <c r="G75" s="1872"/>
      <c r="H75" s="1872"/>
      <c r="I75" s="1872"/>
      <c r="J75" s="1872"/>
      <c r="K75" s="1872"/>
      <c r="L75" s="1872"/>
      <c r="M75" s="1872"/>
      <c r="N75" s="1872"/>
      <c r="O75" s="1872"/>
      <c r="P75" s="1872"/>
      <c r="Q75" s="1872"/>
      <c r="R75" s="1872"/>
      <c r="S75" s="1872"/>
      <c r="T75" s="1872"/>
      <c r="U75" s="1872"/>
      <c r="V75" s="1872"/>
      <c r="W75" s="1872"/>
      <c r="X75" s="1872"/>
      <c r="Y75" s="1872"/>
      <c r="Z75" s="1872"/>
      <c r="AA75" s="1872"/>
      <c r="AB75" s="1872"/>
      <c r="AC75" s="1872"/>
      <c r="AD75" s="1872"/>
      <c r="AE75" s="1872"/>
      <c r="AF75" s="1872"/>
      <c r="AG75" s="1872"/>
      <c r="AH75" s="1872"/>
      <c r="AI75" s="1872"/>
      <c r="AJ75" s="1872"/>
      <c r="AK75" s="1872"/>
      <c r="AL75" s="1873"/>
      <c r="AM75" s="1925"/>
      <c r="AN75" s="1926"/>
      <c r="AO75" s="1926"/>
      <c r="AP75" s="1926"/>
      <c r="AQ75" s="1926"/>
      <c r="AR75" s="1926"/>
      <c r="AS75" s="1926"/>
      <c r="AT75" s="1926"/>
      <c r="AU75" s="1926"/>
      <c r="AV75" s="1926"/>
      <c r="AW75" s="1926"/>
      <c r="AX75" s="1926"/>
      <c r="AY75" s="1926"/>
      <c r="AZ75" s="1927"/>
      <c r="BB75" s="1862"/>
      <c r="BC75" s="1863"/>
      <c r="BD75" s="1863"/>
      <c r="BE75" s="1863"/>
      <c r="BF75" s="1863"/>
      <c r="BG75" s="1863"/>
      <c r="BH75" s="1863"/>
      <c r="BI75" s="1863"/>
      <c r="BJ75" s="1863"/>
      <c r="BK75" s="1864"/>
      <c r="BL75" s="1871"/>
      <c r="BM75" s="1872"/>
      <c r="BN75" s="1872"/>
      <c r="BO75" s="1872"/>
      <c r="BP75" s="1872"/>
      <c r="BQ75" s="1872"/>
      <c r="BR75" s="1872"/>
      <c r="BS75" s="1872"/>
      <c r="BT75" s="1872"/>
      <c r="BU75" s="1872"/>
      <c r="BV75" s="1872"/>
      <c r="BW75" s="1872"/>
      <c r="BX75" s="1872"/>
      <c r="BY75" s="1872"/>
      <c r="BZ75" s="1872"/>
      <c r="CA75" s="1872"/>
      <c r="CB75" s="1872"/>
      <c r="CC75" s="1872"/>
      <c r="CD75" s="1872"/>
      <c r="CE75" s="1872"/>
      <c r="CF75" s="1872"/>
      <c r="CG75" s="1872"/>
      <c r="CH75" s="1872"/>
      <c r="CI75" s="1872"/>
      <c r="CJ75" s="1872"/>
      <c r="CK75" s="1872"/>
      <c r="CL75" s="1872"/>
      <c r="CM75" s="1872"/>
      <c r="CN75" s="1872"/>
      <c r="CO75" s="1872"/>
      <c r="CP75" s="1872"/>
      <c r="CQ75" s="1872"/>
      <c r="CR75" s="1872"/>
      <c r="CS75" s="1872"/>
      <c r="CT75" s="1872"/>
      <c r="CU75" s="1872"/>
      <c r="CV75" s="1872"/>
      <c r="CW75" s="1872"/>
      <c r="CX75" s="1872"/>
      <c r="CY75" s="1872"/>
      <c r="CZ75" s="1872"/>
      <c r="DA75" s="1873"/>
    </row>
    <row r="76" spans="1:105">
      <c r="A76" s="1862"/>
      <c r="B76" s="1863"/>
      <c r="C76" s="1864"/>
      <c r="D76" s="1871"/>
      <c r="E76" s="1872"/>
      <c r="F76" s="1872"/>
      <c r="G76" s="1872"/>
      <c r="H76" s="1872"/>
      <c r="I76" s="1872"/>
      <c r="J76" s="1872"/>
      <c r="K76" s="1872"/>
      <c r="L76" s="1872"/>
      <c r="M76" s="1872"/>
      <c r="N76" s="1872"/>
      <c r="O76" s="1872"/>
      <c r="P76" s="1872"/>
      <c r="Q76" s="1872"/>
      <c r="R76" s="1872"/>
      <c r="S76" s="1872"/>
      <c r="T76" s="1872"/>
      <c r="U76" s="1872"/>
      <c r="V76" s="1872"/>
      <c r="W76" s="1872"/>
      <c r="X76" s="1872"/>
      <c r="Y76" s="1872"/>
      <c r="Z76" s="1872"/>
      <c r="AA76" s="1872"/>
      <c r="AB76" s="1872"/>
      <c r="AC76" s="1872"/>
      <c r="AD76" s="1872"/>
      <c r="AE76" s="1872"/>
      <c r="AF76" s="1872"/>
      <c r="AG76" s="1872"/>
      <c r="AH76" s="1872"/>
      <c r="AI76" s="1872"/>
      <c r="AJ76" s="1872"/>
      <c r="AK76" s="1872"/>
      <c r="AL76" s="1873"/>
      <c r="AM76" s="1925"/>
      <c r="AN76" s="1926"/>
      <c r="AO76" s="1926"/>
      <c r="AP76" s="1926"/>
      <c r="AQ76" s="1926"/>
      <c r="AR76" s="1926"/>
      <c r="AS76" s="1926"/>
      <c r="AT76" s="1926"/>
      <c r="AU76" s="1926"/>
      <c r="AV76" s="1926"/>
      <c r="AW76" s="1926"/>
      <c r="AX76" s="1926"/>
      <c r="AY76" s="1926"/>
      <c r="AZ76" s="1927"/>
      <c r="BB76" s="1862"/>
      <c r="BC76" s="1863"/>
      <c r="BD76" s="1863"/>
      <c r="BE76" s="1863"/>
      <c r="BF76" s="1863"/>
      <c r="BG76" s="1863"/>
      <c r="BH76" s="1863"/>
      <c r="BI76" s="1863"/>
      <c r="BJ76" s="1863"/>
      <c r="BK76" s="1864"/>
      <c r="BL76" s="1871"/>
      <c r="BM76" s="1872"/>
      <c r="BN76" s="1872"/>
      <c r="BO76" s="1872"/>
      <c r="BP76" s="1872"/>
      <c r="BQ76" s="1872"/>
      <c r="BR76" s="1872"/>
      <c r="BS76" s="1872"/>
      <c r="BT76" s="1872"/>
      <c r="BU76" s="1872"/>
      <c r="BV76" s="1872"/>
      <c r="BW76" s="1872"/>
      <c r="BX76" s="1872"/>
      <c r="BY76" s="1872"/>
      <c r="BZ76" s="1872"/>
      <c r="CA76" s="1872"/>
      <c r="CB76" s="1872"/>
      <c r="CC76" s="1872"/>
      <c r="CD76" s="1872"/>
      <c r="CE76" s="1872"/>
      <c r="CF76" s="1872"/>
      <c r="CG76" s="1872"/>
      <c r="CH76" s="1872"/>
      <c r="CI76" s="1872"/>
      <c r="CJ76" s="1872"/>
      <c r="CK76" s="1872"/>
      <c r="CL76" s="1872"/>
      <c r="CM76" s="1872"/>
      <c r="CN76" s="1872"/>
      <c r="CO76" s="1872"/>
      <c r="CP76" s="1872"/>
      <c r="CQ76" s="1872"/>
      <c r="CR76" s="1872"/>
      <c r="CS76" s="1872"/>
      <c r="CT76" s="1872"/>
      <c r="CU76" s="1872"/>
      <c r="CV76" s="1872"/>
      <c r="CW76" s="1872"/>
      <c r="CX76" s="1872"/>
      <c r="CY76" s="1872"/>
      <c r="CZ76" s="1872"/>
      <c r="DA76" s="1873"/>
    </row>
    <row r="77" spans="1:105" ht="23.25" customHeight="1" thickBot="1">
      <c r="A77" s="1865"/>
      <c r="B77" s="1866"/>
      <c r="C77" s="1867"/>
      <c r="D77" s="1874"/>
      <c r="E77" s="1875"/>
      <c r="F77" s="1875"/>
      <c r="G77" s="1875"/>
      <c r="H77" s="1875"/>
      <c r="I77" s="1875"/>
      <c r="J77" s="1875"/>
      <c r="K77" s="1875"/>
      <c r="L77" s="1875"/>
      <c r="M77" s="1875"/>
      <c r="N77" s="1875"/>
      <c r="O77" s="1875"/>
      <c r="P77" s="1875"/>
      <c r="Q77" s="1875"/>
      <c r="R77" s="1875"/>
      <c r="S77" s="1875"/>
      <c r="T77" s="1875"/>
      <c r="U77" s="1875"/>
      <c r="V77" s="1875"/>
      <c r="W77" s="1875"/>
      <c r="X77" s="1875"/>
      <c r="Y77" s="1875"/>
      <c r="Z77" s="1875"/>
      <c r="AA77" s="1875"/>
      <c r="AB77" s="1875"/>
      <c r="AC77" s="1875"/>
      <c r="AD77" s="1875"/>
      <c r="AE77" s="1875"/>
      <c r="AF77" s="1875"/>
      <c r="AG77" s="1875"/>
      <c r="AH77" s="1875"/>
      <c r="AI77" s="1875"/>
      <c r="AJ77" s="1875"/>
      <c r="AK77" s="1875"/>
      <c r="AL77" s="1876"/>
      <c r="AM77" s="1928"/>
      <c r="AN77" s="1929"/>
      <c r="AO77" s="1929"/>
      <c r="AP77" s="1929"/>
      <c r="AQ77" s="1929"/>
      <c r="AR77" s="1929"/>
      <c r="AS77" s="1929"/>
      <c r="AT77" s="1929"/>
      <c r="AU77" s="1929"/>
      <c r="AV77" s="1929"/>
      <c r="AW77" s="1929"/>
      <c r="AX77" s="1929"/>
      <c r="AY77" s="1929"/>
      <c r="AZ77" s="1930"/>
      <c r="BB77" s="1865"/>
      <c r="BC77" s="1866"/>
      <c r="BD77" s="1866"/>
      <c r="BE77" s="1866"/>
      <c r="BF77" s="1866"/>
      <c r="BG77" s="1866"/>
      <c r="BH77" s="1866"/>
      <c r="BI77" s="1866"/>
      <c r="BJ77" s="1866"/>
      <c r="BK77" s="1867"/>
      <c r="BL77" s="1874"/>
      <c r="BM77" s="1875"/>
      <c r="BN77" s="1875"/>
      <c r="BO77" s="1875"/>
      <c r="BP77" s="1875"/>
      <c r="BQ77" s="1875"/>
      <c r="BR77" s="1875"/>
      <c r="BS77" s="1875"/>
      <c r="BT77" s="1875"/>
      <c r="BU77" s="1875"/>
      <c r="BV77" s="1875"/>
      <c r="BW77" s="1875"/>
      <c r="BX77" s="1875"/>
      <c r="BY77" s="1875"/>
      <c r="BZ77" s="1875"/>
      <c r="CA77" s="1875"/>
      <c r="CB77" s="1875"/>
      <c r="CC77" s="1875"/>
      <c r="CD77" s="1875"/>
      <c r="CE77" s="1875"/>
      <c r="CF77" s="1875"/>
      <c r="CG77" s="1875"/>
      <c r="CH77" s="1875"/>
      <c r="CI77" s="1875"/>
      <c r="CJ77" s="1875"/>
      <c r="CK77" s="1875"/>
      <c r="CL77" s="1875"/>
      <c r="CM77" s="1875"/>
      <c r="CN77" s="1875"/>
      <c r="CO77" s="1875"/>
      <c r="CP77" s="1875"/>
      <c r="CQ77" s="1875"/>
      <c r="CR77" s="1875"/>
      <c r="CS77" s="1875"/>
      <c r="CT77" s="1875"/>
      <c r="CU77" s="1875"/>
      <c r="CV77" s="1875"/>
      <c r="CW77" s="1875"/>
      <c r="CX77" s="1875"/>
      <c r="CY77" s="1875"/>
      <c r="CZ77" s="1875"/>
      <c r="DA77" s="1876"/>
    </row>
    <row r="78" spans="1:105" ht="12.75" customHeight="1">
      <c r="A78" s="1859">
        <v>17</v>
      </c>
      <c r="B78" s="1860"/>
      <c r="C78" s="1861"/>
      <c r="D78" s="1868" t="s">
        <v>1379</v>
      </c>
      <c r="E78" s="1869"/>
      <c r="F78" s="1869"/>
      <c r="G78" s="1869"/>
      <c r="H78" s="1869"/>
      <c r="I78" s="1869"/>
      <c r="J78" s="1869"/>
      <c r="K78" s="1869"/>
      <c r="L78" s="1869"/>
      <c r="M78" s="1869"/>
      <c r="N78" s="1869"/>
      <c r="O78" s="1869"/>
      <c r="P78" s="1869"/>
      <c r="Q78" s="1869"/>
      <c r="R78" s="1869"/>
      <c r="S78" s="1869"/>
      <c r="T78" s="1869"/>
      <c r="U78" s="1869"/>
      <c r="V78" s="1869"/>
      <c r="W78" s="1869"/>
      <c r="X78" s="1869"/>
      <c r="Y78" s="1869"/>
      <c r="Z78" s="1869"/>
      <c r="AA78" s="1869"/>
      <c r="AB78" s="1869"/>
      <c r="AC78" s="1869"/>
      <c r="AD78" s="1869"/>
      <c r="AE78" s="1869"/>
      <c r="AF78" s="1869"/>
      <c r="AG78" s="1869"/>
      <c r="AH78" s="1869"/>
      <c r="AI78" s="1869"/>
      <c r="AJ78" s="1869"/>
      <c r="AK78" s="1869"/>
      <c r="AL78" s="1870"/>
      <c r="AM78" s="1922" t="s">
        <v>1386</v>
      </c>
      <c r="AN78" s="1923"/>
      <c r="AO78" s="1923"/>
      <c r="AP78" s="1923"/>
      <c r="AQ78" s="1923"/>
      <c r="AR78" s="1923"/>
      <c r="AS78" s="1923"/>
      <c r="AT78" s="1923"/>
      <c r="AU78" s="1923"/>
      <c r="AV78" s="1923"/>
      <c r="AW78" s="1923"/>
      <c r="AX78" s="1923"/>
      <c r="AY78" s="1923"/>
      <c r="AZ78" s="1924"/>
      <c r="BB78" s="1859" t="s">
        <v>1336</v>
      </c>
      <c r="BC78" s="1860"/>
      <c r="BD78" s="1860"/>
      <c r="BE78" s="1860"/>
      <c r="BF78" s="1860"/>
      <c r="BG78" s="1860"/>
      <c r="BH78" s="1860"/>
      <c r="BI78" s="1860"/>
      <c r="BJ78" s="1860"/>
      <c r="BK78" s="1861"/>
      <c r="BL78" s="1868" t="s">
        <v>1368</v>
      </c>
      <c r="BM78" s="1869"/>
      <c r="BN78" s="1869"/>
      <c r="BO78" s="1869"/>
      <c r="BP78" s="1869"/>
      <c r="BQ78" s="1869"/>
      <c r="BR78" s="1869"/>
      <c r="BS78" s="1869"/>
      <c r="BT78" s="1869"/>
      <c r="BU78" s="1869"/>
      <c r="BV78" s="1869"/>
      <c r="BW78" s="1869"/>
      <c r="BX78" s="1869"/>
      <c r="BY78" s="1869"/>
      <c r="BZ78" s="1869"/>
      <c r="CA78" s="1869"/>
      <c r="CB78" s="1869"/>
      <c r="CC78" s="1869"/>
      <c r="CD78" s="1869"/>
      <c r="CE78" s="1869"/>
      <c r="CF78" s="1869"/>
      <c r="CG78" s="1869"/>
      <c r="CH78" s="1869"/>
      <c r="CI78" s="1869"/>
      <c r="CJ78" s="1869"/>
      <c r="CK78" s="1869"/>
      <c r="CL78" s="1869"/>
      <c r="CM78" s="1869"/>
      <c r="CN78" s="1869"/>
      <c r="CO78" s="1869"/>
      <c r="CP78" s="1869"/>
      <c r="CQ78" s="1869"/>
      <c r="CR78" s="1869"/>
      <c r="CS78" s="1869"/>
      <c r="CT78" s="1869"/>
      <c r="CU78" s="1869"/>
      <c r="CV78" s="1869"/>
      <c r="CW78" s="1869"/>
      <c r="CX78" s="1869"/>
      <c r="CY78" s="1869"/>
      <c r="CZ78" s="1869"/>
      <c r="DA78" s="1870"/>
    </row>
    <row r="79" spans="1:105" ht="12.75" customHeight="1">
      <c r="A79" s="1862"/>
      <c r="B79" s="1863"/>
      <c r="C79" s="1864"/>
      <c r="D79" s="1871"/>
      <c r="E79" s="1872"/>
      <c r="F79" s="1872"/>
      <c r="G79" s="1872"/>
      <c r="H79" s="1872"/>
      <c r="I79" s="1872"/>
      <c r="J79" s="1872"/>
      <c r="K79" s="1872"/>
      <c r="L79" s="1872"/>
      <c r="M79" s="1872"/>
      <c r="N79" s="1872"/>
      <c r="O79" s="1872"/>
      <c r="P79" s="1872"/>
      <c r="Q79" s="1872"/>
      <c r="R79" s="1872"/>
      <c r="S79" s="1872"/>
      <c r="T79" s="1872"/>
      <c r="U79" s="1872"/>
      <c r="V79" s="1872"/>
      <c r="W79" s="1872"/>
      <c r="X79" s="1872"/>
      <c r="Y79" s="1872"/>
      <c r="Z79" s="1872"/>
      <c r="AA79" s="1872"/>
      <c r="AB79" s="1872"/>
      <c r="AC79" s="1872"/>
      <c r="AD79" s="1872"/>
      <c r="AE79" s="1872"/>
      <c r="AF79" s="1872"/>
      <c r="AG79" s="1872"/>
      <c r="AH79" s="1872"/>
      <c r="AI79" s="1872"/>
      <c r="AJ79" s="1872"/>
      <c r="AK79" s="1872"/>
      <c r="AL79" s="1873"/>
      <c r="AM79" s="1925"/>
      <c r="AN79" s="1926"/>
      <c r="AO79" s="1926"/>
      <c r="AP79" s="1926"/>
      <c r="AQ79" s="1926"/>
      <c r="AR79" s="1926"/>
      <c r="AS79" s="1926"/>
      <c r="AT79" s="1926"/>
      <c r="AU79" s="1926"/>
      <c r="AV79" s="1926"/>
      <c r="AW79" s="1926"/>
      <c r="AX79" s="1926"/>
      <c r="AY79" s="1926"/>
      <c r="AZ79" s="1927"/>
      <c r="BB79" s="1862"/>
      <c r="BC79" s="1863"/>
      <c r="BD79" s="1863"/>
      <c r="BE79" s="1863"/>
      <c r="BF79" s="1863"/>
      <c r="BG79" s="1863"/>
      <c r="BH79" s="1863"/>
      <c r="BI79" s="1863"/>
      <c r="BJ79" s="1863"/>
      <c r="BK79" s="1864"/>
      <c r="BL79" s="1871"/>
      <c r="BM79" s="1872"/>
      <c r="BN79" s="1872"/>
      <c r="BO79" s="1872"/>
      <c r="BP79" s="1872"/>
      <c r="BQ79" s="1872"/>
      <c r="BR79" s="1872"/>
      <c r="BS79" s="1872"/>
      <c r="BT79" s="1872"/>
      <c r="BU79" s="1872"/>
      <c r="BV79" s="1872"/>
      <c r="BW79" s="1872"/>
      <c r="BX79" s="1872"/>
      <c r="BY79" s="1872"/>
      <c r="BZ79" s="1872"/>
      <c r="CA79" s="1872"/>
      <c r="CB79" s="1872"/>
      <c r="CC79" s="1872"/>
      <c r="CD79" s="1872"/>
      <c r="CE79" s="1872"/>
      <c r="CF79" s="1872"/>
      <c r="CG79" s="1872"/>
      <c r="CH79" s="1872"/>
      <c r="CI79" s="1872"/>
      <c r="CJ79" s="1872"/>
      <c r="CK79" s="1872"/>
      <c r="CL79" s="1872"/>
      <c r="CM79" s="1872"/>
      <c r="CN79" s="1872"/>
      <c r="CO79" s="1872"/>
      <c r="CP79" s="1872"/>
      <c r="CQ79" s="1872"/>
      <c r="CR79" s="1872"/>
      <c r="CS79" s="1872"/>
      <c r="CT79" s="1872"/>
      <c r="CU79" s="1872"/>
      <c r="CV79" s="1872"/>
      <c r="CW79" s="1872"/>
      <c r="CX79" s="1872"/>
      <c r="CY79" s="1872"/>
      <c r="CZ79" s="1872"/>
      <c r="DA79" s="1873"/>
    </row>
    <row r="80" spans="1:105" ht="21.75" customHeight="1" thickBot="1">
      <c r="A80" s="1865"/>
      <c r="B80" s="1866"/>
      <c r="C80" s="1867"/>
      <c r="D80" s="1874"/>
      <c r="E80" s="1875"/>
      <c r="F80" s="1875"/>
      <c r="G80" s="1875"/>
      <c r="H80" s="1875"/>
      <c r="I80" s="1875"/>
      <c r="J80" s="1875"/>
      <c r="K80" s="1875"/>
      <c r="L80" s="1875"/>
      <c r="M80" s="1875"/>
      <c r="N80" s="1875"/>
      <c r="O80" s="1875"/>
      <c r="P80" s="1875"/>
      <c r="Q80" s="1875"/>
      <c r="R80" s="1875"/>
      <c r="S80" s="1875"/>
      <c r="T80" s="1875"/>
      <c r="U80" s="1875"/>
      <c r="V80" s="1875"/>
      <c r="W80" s="1875"/>
      <c r="X80" s="1875"/>
      <c r="Y80" s="1875"/>
      <c r="Z80" s="1875"/>
      <c r="AA80" s="1875"/>
      <c r="AB80" s="1875"/>
      <c r="AC80" s="1875"/>
      <c r="AD80" s="1875"/>
      <c r="AE80" s="1875"/>
      <c r="AF80" s="1875"/>
      <c r="AG80" s="1875"/>
      <c r="AH80" s="1875"/>
      <c r="AI80" s="1875"/>
      <c r="AJ80" s="1875"/>
      <c r="AK80" s="1875"/>
      <c r="AL80" s="1876"/>
      <c r="AM80" s="1928"/>
      <c r="AN80" s="1929"/>
      <c r="AO80" s="1929"/>
      <c r="AP80" s="1929"/>
      <c r="AQ80" s="1929"/>
      <c r="AR80" s="1929"/>
      <c r="AS80" s="1929"/>
      <c r="AT80" s="1929"/>
      <c r="AU80" s="1929"/>
      <c r="AV80" s="1929"/>
      <c r="AW80" s="1929"/>
      <c r="AX80" s="1929"/>
      <c r="AY80" s="1929"/>
      <c r="AZ80" s="1930"/>
      <c r="BB80" s="1862"/>
      <c r="BC80" s="1863"/>
      <c r="BD80" s="1863"/>
      <c r="BE80" s="1863"/>
      <c r="BF80" s="1863"/>
      <c r="BG80" s="1863"/>
      <c r="BH80" s="1863"/>
      <c r="BI80" s="1863"/>
      <c r="BJ80" s="1863"/>
      <c r="BK80" s="1864"/>
      <c r="BL80" s="1871"/>
      <c r="BM80" s="1872"/>
      <c r="BN80" s="1872"/>
      <c r="BO80" s="1872"/>
      <c r="BP80" s="1872"/>
      <c r="BQ80" s="1872"/>
      <c r="BR80" s="1872"/>
      <c r="BS80" s="1872"/>
      <c r="BT80" s="1872"/>
      <c r="BU80" s="1872"/>
      <c r="BV80" s="1872"/>
      <c r="BW80" s="1872"/>
      <c r="BX80" s="1872"/>
      <c r="BY80" s="1872"/>
      <c r="BZ80" s="1872"/>
      <c r="CA80" s="1872"/>
      <c r="CB80" s="1872"/>
      <c r="CC80" s="1872"/>
      <c r="CD80" s="1872"/>
      <c r="CE80" s="1872"/>
      <c r="CF80" s="1872"/>
      <c r="CG80" s="1872"/>
      <c r="CH80" s="1872"/>
      <c r="CI80" s="1872"/>
      <c r="CJ80" s="1872"/>
      <c r="CK80" s="1872"/>
      <c r="CL80" s="1872"/>
      <c r="CM80" s="1872"/>
      <c r="CN80" s="1872"/>
      <c r="CO80" s="1872"/>
      <c r="CP80" s="1872"/>
      <c r="CQ80" s="1872"/>
      <c r="CR80" s="1872"/>
      <c r="CS80" s="1872"/>
      <c r="CT80" s="1872"/>
      <c r="CU80" s="1872"/>
      <c r="CV80" s="1872"/>
      <c r="CW80" s="1872"/>
      <c r="CX80" s="1872"/>
      <c r="CY80" s="1872"/>
      <c r="CZ80" s="1872"/>
      <c r="DA80" s="1873"/>
    </row>
    <row r="81" spans="1:105">
      <c r="A81" s="1859">
        <v>18</v>
      </c>
      <c r="B81" s="1860"/>
      <c r="C81" s="1861"/>
      <c r="D81" s="1868" t="s">
        <v>1380</v>
      </c>
      <c r="E81" s="1869"/>
      <c r="F81" s="1869"/>
      <c r="G81" s="1869"/>
      <c r="H81" s="1869"/>
      <c r="I81" s="1869"/>
      <c r="J81" s="1869"/>
      <c r="K81" s="1869"/>
      <c r="L81" s="1869"/>
      <c r="M81" s="1869"/>
      <c r="N81" s="1869"/>
      <c r="O81" s="1869"/>
      <c r="P81" s="1869"/>
      <c r="Q81" s="1869"/>
      <c r="R81" s="1869"/>
      <c r="S81" s="1869"/>
      <c r="T81" s="1869"/>
      <c r="U81" s="1869"/>
      <c r="V81" s="1869"/>
      <c r="W81" s="1869"/>
      <c r="X81" s="1869"/>
      <c r="Y81" s="1869"/>
      <c r="Z81" s="1869"/>
      <c r="AA81" s="1869"/>
      <c r="AB81" s="1869"/>
      <c r="AC81" s="1869"/>
      <c r="AD81" s="1869"/>
      <c r="AE81" s="1869"/>
      <c r="AF81" s="1869"/>
      <c r="AG81" s="1869"/>
      <c r="AH81" s="1869"/>
      <c r="AI81" s="1869"/>
      <c r="AJ81" s="1869"/>
      <c r="AK81" s="1869"/>
      <c r="AL81" s="1870"/>
      <c r="AM81" s="1922" t="s">
        <v>1386</v>
      </c>
      <c r="AN81" s="1923"/>
      <c r="AO81" s="1923"/>
      <c r="AP81" s="1923"/>
      <c r="AQ81" s="1923"/>
      <c r="AR81" s="1923"/>
      <c r="AS81" s="1923"/>
      <c r="AT81" s="1923"/>
      <c r="AU81" s="1923"/>
      <c r="AV81" s="1923"/>
      <c r="AW81" s="1923"/>
      <c r="AX81" s="1923"/>
      <c r="AY81" s="1923"/>
      <c r="AZ81" s="1924"/>
      <c r="BB81" s="1862"/>
      <c r="BC81" s="1863"/>
      <c r="BD81" s="1863"/>
      <c r="BE81" s="1863"/>
      <c r="BF81" s="1863"/>
      <c r="BG81" s="1863"/>
      <c r="BH81" s="1863"/>
      <c r="BI81" s="1863"/>
      <c r="BJ81" s="1863"/>
      <c r="BK81" s="1864"/>
      <c r="BL81" s="1871"/>
      <c r="BM81" s="1872"/>
      <c r="BN81" s="1872"/>
      <c r="BO81" s="1872"/>
      <c r="BP81" s="1872"/>
      <c r="BQ81" s="1872"/>
      <c r="BR81" s="1872"/>
      <c r="BS81" s="1872"/>
      <c r="BT81" s="1872"/>
      <c r="BU81" s="1872"/>
      <c r="BV81" s="1872"/>
      <c r="BW81" s="1872"/>
      <c r="BX81" s="1872"/>
      <c r="BY81" s="1872"/>
      <c r="BZ81" s="1872"/>
      <c r="CA81" s="1872"/>
      <c r="CB81" s="1872"/>
      <c r="CC81" s="1872"/>
      <c r="CD81" s="1872"/>
      <c r="CE81" s="1872"/>
      <c r="CF81" s="1872"/>
      <c r="CG81" s="1872"/>
      <c r="CH81" s="1872"/>
      <c r="CI81" s="1872"/>
      <c r="CJ81" s="1872"/>
      <c r="CK81" s="1872"/>
      <c r="CL81" s="1872"/>
      <c r="CM81" s="1872"/>
      <c r="CN81" s="1872"/>
      <c r="CO81" s="1872"/>
      <c r="CP81" s="1872"/>
      <c r="CQ81" s="1872"/>
      <c r="CR81" s="1872"/>
      <c r="CS81" s="1872"/>
      <c r="CT81" s="1872"/>
      <c r="CU81" s="1872"/>
      <c r="CV81" s="1872"/>
      <c r="CW81" s="1872"/>
      <c r="CX81" s="1872"/>
      <c r="CY81" s="1872"/>
      <c r="CZ81" s="1872"/>
      <c r="DA81" s="1873"/>
    </row>
    <row r="82" spans="1:105" ht="13.5" thickBot="1">
      <c r="A82" s="1862"/>
      <c r="B82" s="1863"/>
      <c r="C82" s="1864"/>
      <c r="D82" s="1871"/>
      <c r="E82" s="1872"/>
      <c r="F82" s="1872"/>
      <c r="G82" s="1872"/>
      <c r="H82" s="1872"/>
      <c r="I82" s="1872"/>
      <c r="J82" s="1872"/>
      <c r="K82" s="1872"/>
      <c r="L82" s="1872"/>
      <c r="M82" s="1872"/>
      <c r="N82" s="1872"/>
      <c r="O82" s="1872"/>
      <c r="P82" s="1872"/>
      <c r="Q82" s="1872"/>
      <c r="R82" s="1872"/>
      <c r="S82" s="1872"/>
      <c r="T82" s="1872"/>
      <c r="U82" s="1872"/>
      <c r="V82" s="1872"/>
      <c r="W82" s="1872"/>
      <c r="X82" s="1872"/>
      <c r="Y82" s="1872"/>
      <c r="Z82" s="1872"/>
      <c r="AA82" s="1872"/>
      <c r="AB82" s="1872"/>
      <c r="AC82" s="1872"/>
      <c r="AD82" s="1872"/>
      <c r="AE82" s="1872"/>
      <c r="AF82" s="1872"/>
      <c r="AG82" s="1872"/>
      <c r="AH82" s="1872"/>
      <c r="AI82" s="1872"/>
      <c r="AJ82" s="1872"/>
      <c r="AK82" s="1872"/>
      <c r="AL82" s="1873"/>
      <c r="AM82" s="1925"/>
      <c r="AN82" s="1926"/>
      <c r="AO82" s="1926"/>
      <c r="AP82" s="1926"/>
      <c r="AQ82" s="1926"/>
      <c r="AR82" s="1926"/>
      <c r="AS82" s="1926"/>
      <c r="AT82" s="1926"/>
      <c r="AU82" s="1926"/>
      <c r="AV82" s="1926"/>
      <c r="AW82" s="1926"/>
      <c r="AX82" s="1926"/>
      <c r="AY82" s="1926"/>
      <c r="AZ82" s="1927"/>
      <c r="BB82" s="1865"/>
      <c r="BC82" s="1866"/>
      <c r="BD82" s="1866"/>
      <c r="BE82" s="1866"/>
      <c r="BF82" s="1866"/>
      <c r="BG82" s="1866"/>
      <c r="BH82" s="1866"/>
      <c r="BI82" s="1866"/>
      <c r="BJ82" s="1866"/>
      <c r="BK82" s="1867"/>
      <c r="BL82" s="1874"/>
      <c r="BM82" s="1875"/>
      <c r="BN82" s="1875"/>
      <c r="BO82" s="1875"/>
      <c r="BP82" s="1875"/>
      <c r="BQ82" s="1875"/>
      <c r="BR82" s="1875"/>
      <c r="BS82" s="1875"/>
      <c r="BT82" s="1875"/>
      <c r="BU82" s="1875"/>
      <c r="BV82" s="1875"/>
      <c r="BW82" s="1875"/>
      <c r="BX82" s="1875"/>
      <c r="BY82" s="1875"/>
      <c r="BZ82" s="1875"/>
      <c r="CA82" s="1875"/>
      <c r="CB82" s="1875"/>
      <c r="CC82" s="1875"/>
      <c r="CD82" s="1875"/>
      <c r="CE82" s="1875"/>
      <c r="CF82" s="1875"/>
      <c r="CG82" s="1875"/>
      <c r="CH82" s="1875"/>
      <c r="CI82" s="1875"/>
      <c r="CJ82" s="1875"/>
      <c r="CK82" s="1875"/>
      <c r="CL82" s="1875"/>
      <c r="CM82" s="1875"/>
      <c r="CN82" s="1875"/>
      <c r="CO82" s="1875"/>
      <c r="CP82" s="1875"/>
      <c r="CQ82" s="1875"/>
      <c r="CR82" s="1875"/>
      <c r="CS82" s="1875"/>
      <c r="CT82" s="1875"/>
      <c r="CU82" s="1875"/>
      <c r="CV82" s="1875"/>
      <c r="CW82" s="1875"/>
      <c r="CX82" s="1875"/>
      <c r="CY82" s="1875"/>
      <c r="CZ82" s="1875"/>
      <c r="DA82" s="1876"/>
    </row>
    <row r="83" spans="1:105">
      <c r="A83" s="1862"/>
      <c r="B83" s="1863"/>
      <c r="C83" s="1864"/>
      <c r="D83" s="1871"/>
      <c r="E83" s="1872"/>
      <c r="F83" s="1872"/>
      <c r="G83" s="1872"/>
      <c r="H83" s="1872"/>
      <c r="I83" s="1872"/>
      <c r="J83" s="1872"/>
      <c r="K83" s="1872"/>
      <c r="L83" s="1872"/>
      <c r="M83" s="1872"/>
      <c r="N83" s="1872"/>
      <c r="O83" s="1872"/>
      <c r="P83" s="1872"/>
      <c r="Q83" s="1872"/>
      <c r="R83" s="1872"/>
      <c r="S83" s="1872"/>
      <c r="T83" s="1872"/>
      <c r="U83" s="1872"/>
      <c r="V83" s="1872"/>
      <c r="W83" s="1872"/>
      <c r="X83" s="1872"/>
      <c r="Y83" s="1872"/>
      <c r="Z83" s="1872"/>
      <c r="AA83" s="1872"/>
      <c r="AB83" s="1872"/>
      <c r="AC83" s="1872"/>
      <c r="AD83" s="1872"/>
      <c r="AE83" s="1872"/>
      <c r="AF83" s="1872"/>
      <c r="AG83" s="1872"/>
      <c r="AH83" s="1872"/>
      <c r="AI83" s="1872"/>
      <c r="AJ83" s="1872"/>
      <c r="AK83" s="1872"/>
      <c r="AL83" s="1873"/>
      <c r="AM83" s="1925"/>
      <c r="AN83" s="1926"/>
      <c r="AO83" s="1926"/>
      <c r="AP83" s="1926"/>
      <c r="AQ83" s="1926"/>
      <c r="AR83" s="1926"/>
      <c r="AS83" s="1926"/>
      <c r="AT83" s="1926"/>
      <c r="AU83" s="1926"/>
      <c r="AV83" s="1926"/>
      <c r="AW83" s="1926"/>
      <c r="AX83" s="1926"/>
      <c r="AY83" s="1926"/>
      <c r="AZ83" s="1927"/>
      <c r="BB83" s="1859" t="s">
        <v>1337</v>
      </c>
      <c r="BC83" s="1860"/>
      <c r="BD83" s="1860"/>
      <c r="BE83" s="1860"/>
      <c r="BF83" s="1860"/>
      <c r="BG83" s="1860"/>
      <c r="BH83" s="1860"/>
      <c r="BI83" s="1860"/>
      <c r="BJ83" s="1860"/>
      <c r="BK83" s="1861"/>
      <c r="BL83" s="1868" t="s">
        <v>1369</v>
      </c>
      <c r="BM83" s="1869"/>
      <c r="BN83" s="1869"/>
      <c r="BO83" s="1869"/>
      <c r="BP83" s="1869"/>
      <c r="BQ83" s="1869"/>
      <c r="BR83" s="1869"/>
      <c r="BS83" s="1869"/>
      <c r="BT83" s="1869"/>
      <c r="BU83" s="1869"/>
      <c r="BV83" s="1869"/>
      <c r="BW83" s="1869"/>
      <c r="BX83" s="1869"/>
      <c r="BY83" s="1869"/>
      <c r="BZ83" s="1869"/>
      <c r="CA83" s="1869"/>
      <c r="CB83" s="1869"/>
      <c r="CC83" s="1869"/>
      <c r="CD83" s="1869"/>
      <c r="CE83" s="1869"/>
      <c r="CF83" s="1869"/>
      <c r="CG83" s="1869"/>
      <c r="CH83" s="1869"/>
      <c r="CI83" s="1869"/>
      <c r="CJ83" s="1869"/>
      <c r="CK83" s="1869"/>
      <c r="CL83" s="1869"/>
      <c r="CM83" s="1869"/>
      <c r="CN83" s="1869"/>
      <c r="CO83" s="1869"/>
      <c r="CP83" s="1869"/>
      <c r="CQ83" s="1869"/>
      <c r="CR83" s="1869"/>
      <c r="CS83" s="1869"/>
      <c r="CT83" s="1869"/>
      <c r="CU83" s="1869"/>
      <c r="CV83" s="1869"/>
      <c r="CW83" s="1869"/>
      <c r="CX83" s="1869"/>
      <c r="CY83" s="1869"/>
      <c r="CZ83" s="1869"/>
      <c r="DA83" s="1870"/>
    </row>
    <row r="84" spans="1:105">
      <c r="A84" s="1862"/>
      <c r="B84" s="1863"/>
      <c r="C84" s="1864"/>
      <c r="D84" s="1871"/>
      <c r="E84" s="1872"/>
      <c r="F84" s="1872"/>
      <c r="G84" s="1872"/>
      <c r="H84" s="1872"/>
      <c r="I84" s="1872"/>
      <c r="J84" s="1872"/>
      <c r="K84" s="1872"/>
      <c r="L84" s="1872"/>
      <c r="M84" s="1872"/>
      <c r="N84" s="1872"/>
      <c r="O84" s="1872"/>
      <c r="P84" s="1872"/>
      <c r="Q84" s="1872"/>
      <c r="R84" s="1872"/>
      <c r="S84" s="1872"/>
      <c r="T84" s="1872"/>
      <c r="U84" s="1872"/>
      <c r="V84" s="1872"/>
      <c r="W84" s="1872"/>
      <c r="X84" s="1872"/>
      <c r="Y84" s="1872"/>
      <c r="Z84" s="1872"/>
      <c r="AA84" s="1872"/>
      <c r="AB84" s="1872"/>
      <c r="AC84" s="1872"/>
      <c r="AD84" s="1872"/>
      <c r="AE84" s="1872"/>
      <c r="AF84" s="1872"/>
      <c r="AG84" s="1872"/>
      <c r="AH84" s="1872"/>
      <c r="AI84" s="1872"/>
      <c r="AJ84" s="1872"/>
      <c r="AK84" s="1872"/>
      <c r="AL84" s="1873"/>
      <c r="AM84" s="1925"/>
      <c r="AN84" s="1926"/>
      <c r="AO84" s="1926"/>
      <c r="AP84" s="1926"/>
      <c r="AQ84" s="1926"/>
      <c r="AR84" s="1926"/>
      <c r="AS84" s="1926"/>
      <c r="AT84" s="1926"/>
      <c r="AU84" s="1926"/>
      <c r="AV84" s="1926"/>
      <c r="AW84" s="1926"/>
      <c r="AX84" s="1926"/>
      <c r="AY84" s="1926"/>
      <c r="AZ84" s="1927"/>
      <c r="BB84" s="1862"/>
      <c r="BC84" s="1863"/>
      <c r="BD84" s="1863"/>
      <c r="BE84" s="1863"/>
      <c r="BF84" s="1863"/>
      <c r="BG84" s="1863"/>
      <c r="BH84" s="1863"/>
      <c r="BI84" s="1863"/>
      <c r="BJ84" s="1863"/>
      <c r="BK84" s="1864"/>
      <c r="BL84" s="1871"/>
      <c r="BM84" s="1872"/>
      <c r="BN84" s="1872"/>
      <c r="BO84" s="1872"/>
      <c r="BP84" s="1872"/>
      <c r="BQ84" s="1872"/>
      <c r="BR84" s="1872"/>
      <c r="BS84" s="1872"/>
      <c r="BT84" s="1872"/>
      <c r="BU84" s="1872"/>
      <c r="BV84" s="1872"/>
      <c r="BW84" s="1872"/>
      <c r="BX84" s="1872"/>
      <c r="BY84" s="1872"/>
      <c r="BZ84" s="1872"/>
      <c r="CA84" s="1872"/>
      <c r="CB84" s="1872"/>
      <c r="CC84" s="1872"/>
      <c r="CD84" s="1872"/>
      <c r="CE84" s="1872"/>
      <c r="CF84" s="1872"/>
      <c r="CG84" s="1872"/>
      <c r="CH84" s="1872"/>
      <c r="CI84" s="1872"/>
      <c r="CJ84" s="1872"/>
      <c r="CK84" s="1872"/>
      <c r="CL84" s="1872"/>
      <c r="CM84" s="1872"/>
      <c r="CN84" s="1872"/>
      <c r="CO84" s="1872"/>
      <c r="CP84" s="1872"/>
      <c r="CQ84" s="1872"/>
      <c r="CR84" s="1872"/>
      <c r="CS84" s="1872"/>
      <c r="CT84" s="1872"/>
      <c r="CU84" s="1872"/>
      <c r="CV84" s="1872"/>
      <c r="CW84" s="1872"/>
      <c r="CX84" s="1872"/>
      <c r="CY84" s="1872"/>
      <c r="CZ84" s="1872"/>
      <c r="DA84" s="1873"/>
    </row>
    <row r="85" spans="1:105" ht="20.25" customHeight="1" thickBot="1">
      <c r="A85" s="1865"/>
      <c r="B85" s="1866"/>
      <c r="C85" s="1867"/>
      <c r="D85" s="1874"/>
      <c r="E85" s="1875"/>
      <c r="F85" s="1875"/>
      <c r="G85" s="1875"/>
      <c r="H85" s="1875"/>
      <c r="I85" s="1875"/>
      <c r="J85" s="1875"/>
      <c r="K85" s="1875"/>
      <c r="L85" s="1875"/>
      <c r="M85" s="1875"/>
      <c r="N85" s="1875"/>
      <c r="O85" s="1875"/>
      <c r="P85" s="1875"/>
      <c r="Q85" s="1875"/>
      <c r="R85" s="1875"/>
      <c r="S85" s="1875"/>
      <c r="T85" s="1875"/>
      <c r="U85" s="1875"/>
      <c r="V85" s="1875"/>
      <c r="W85" s="1875"/>
      <c r="X85" s="1875"/>
      <c r="Y85" s="1875"/>
      <c r="Z85" s="1875"/>
      <c r="AA85" s="1875"/>
      <c r="AB85" s="1875"/>
      <c r="AC85" s="1875"/>
      <c r="AD85" s="1875"/>
      <c r="AE85" s="1875"/>
      <c r="AF85" s="1875"/>
      <c r="AG85" s="1875"/>
      <c r="AH85" s="1875"/>
      <c r="AI85" s="1875"/>
      <c r="AJ85" s="1875"/>
      <c r="AK85" s="1875"/>
      <c r="AL85" s="1876"/>
      <c r="AM85" s="1928"/>
      <c r="AN85" s="1929"/>
      <c r="AO85" s="1929"/>
      <c r="AP85" s="1929"/>
      <c r="AQ85" s="1929"/>
      <c r="AR85" s="1929"/>
      <c r="AS85" s="1929"/>
      <c r="AT85" s="1929"/>
      <c r="AU85" s="1929"/>
      <c r="AV85" s="1929"/>
      <c r="AW85" s="1929"/>
      <c r="AX85" s="1929"/>
      <c r="AY85" s="1929"/>
      <c r="AZ85" s="1930"/>
      <c r="BB85" s="1862"/>
      <c r="BC85" s="1863"/>
      <c r="BD85" s="1863"/>
      <c r="BE85" s="1863"/>
      <c r="BF85" s="1863"/>
      <c r="BG85" s="1863"/>
      <c r="BH85" s="1863"/>
      <c r="BI85" s="1863"/>
      <c r="BJ85" s="1863"/>
      <c r="BK85" s="1864"/>
      <c r="BL85" s="1871"/>
      <c r="BM85" s="1872"/>
      <c r="BN85" s="1872"/>
      <c r="BO85" s="1872"/>
      <c r="BP85" s="1872"/>
      <c r="BQ85" s="1872"/>
      <c r="BR85" s="1872"/>
      <c r="BS85" s="1872"/>
      <c r="BT85" s="1872"/>
      <c r="BU85" s="1872"/>
      <c r="BV85" s="1872"/>
      <c r="BW85" s="1872"/>
      <c r="BX85" s="1872"/>
      <c r="BY85" s="1872"/>
      <c r="BZ85" s="1872"/>
      <c r="CA85" s="1872"/>
      <c r="CB85" s="1872"/>
      <c r="CC85" s="1872"/>
      <c r="CD85" s="1872"/>
      <c r="CE85" s="1872"/>
      <c r="CF85" s="1872"/>
      <c r="CG85" s="1872"/>
      <c r="CH85" s="1872"/>
      <c r="CI85" s="1872"/>
      <c r="CJ85" s="1872"/>
      <c r="CK85" s="1872"/>
      <c r="CL85" s="1872"/>
      <c r="CM85" s="1872"/>
      <c r="CN85" s="1872"/>
      <c r="CO85" s="1872"/>
      <c r="CP85" s="1872"/>
      <c r="CQ85" s="1872"/>
      <c r="CR85" s="1872"/>
      <c r="CS85" s="1872"/>
      <c r="CT85" s="1872"/>
      <c r="CU85" s="1872"/>
      <c r="CV85" s="1872"/>
      <c r="CW85" s="1872"/>
      <c r="CX85" s="1872"/>
      <c r="CY85" s="1872"/>
      <c r="CZ85" s="1872"/>
      <c r="DA85" s="1873"/>
    </row>
    <row r="86" spans="1:105" ht="12.75" customHeight="1">
      <c r="A86" s="1859">
        <v>19</v>
      </c>
      <c r="B86" s="1860"/>
      <c r="C86" s="1861"/>
      <c r="D86" s="1886" t="s">
        <v>1381</v>
      </c>
      <c r="E86" s="1887"/>
      <c r="F86" s="1887"/>
      <c r="G86" s="1887"/>
      <c r="H86" s="1887"/>
      <c r="I86" s="1887"/>
      <c r="J86" s="1887"/>
      <c r="K86" s="1887"/>
      <c r="L86" s="1887"/>
      <c r="M86" s="1887"/>
      <c r="N86" s="1887"/>
      <c r="O86" s="1887"/>
      <c r="P86" s="1887"/>
      <c r="Q86" s="1887"/>
      <c r="R86" s="1887"/>
      <c r="S86" s="1887"/>
      <c r="T86" s="1887"/>
      <c r="U86" s="1887"/>
      <c r="V86" s="1887"/>
      <c r="W86" s="1887"/>
      <c r="X86" s="1887"/>
      <c r="Y86" s="1887"/>
      <c r="Z86" s="1887"/>
      <c r="AA86" s="1887"/>
      <c r="AB86" s="1887"/>
      <c r="AC86" s="1887"/>
      <c r="AD86" s="1887"/>
      <c r="AE86" s="1887"/>
      <c r="AF86" s="1887"/>
      <c r="AG86" s="1887"/>
      <c r="AH86" s="1887"/>
      <c r="AI86" s="1887"/>
      <c r="AJ86" s="1887"/>
      <c r="AK86" s="1887"/>
      <c r="AL86" s="1888"/>
      <c r="AM86" s="1922" t="s">
        <v>200</v>
      </c>
      <c r="AN86" s="1923"/>
      <c r="AO86" s="1923"/>
      <c r="AP86" s="1923"/>
      <c r="AQ86" s="1923"/>
      <c r="AR86" s="1923"/>
      <c r="AS86" s="1923"/>
      <c r="AT86" s="1923"/>
      <c r="AU86" s="1923"/>
      <c r="AV86" s="1923"/>
      <c r="AW86" s="1923"/>
      <c r="AX86" s="1923"/>
      <c r="AY86" s="1923"/>
      <c r="AZ86" s="1924"/>
      <c r="BB86" s="1862"/>
      <c r="BC86" s="1863"/>
      <c r="BD86" s="1863"/>
      <c r="BE86" s="1863"/>
      <c r="BF86" s="1863"/>
      <c r="BG86" s="1863"/>
      <c r="BH86" s="1863"/>
      <c r="BI86" s="1863"/>
      <c r="BJ86" s="1863"/>
      <c r="BK86" s="1864"/>
      <c r="BL86" s="1871"/>
      <c r="BM86" s="1872"/>
      <c r="BN86" s="1872"/>
      <c r="BO86" s="1872"/>
      <c r="BP86" s="1872"/>
      <c r="BQ86" s="1872"/>
      <c r="BR86" s="1872"/>
      <c r="BS86" s="1872"/>
      <c r="BT86" s="1872"/>
      <c r="BU86" s="1872"/>
      <c r="BV86" s="1872"/>
      <c r="BW86" s="1872"/>
      <c r="BX86" s="1872"/>
      <c r="BY86" s="1872"/>
      <c r="BZ86" s="1872"/>
      <c r="CA86" s="1872"/>
      <c r="CB86" s="1872"/>
      <c r="CC86" s="1872"/>
      <c r="CD86" s="1872"/>
      <c r="CE86" s="1872"/>
      <c r="CF86" s="1872"/>
      <c r="CG86" s="1872"/>
      <c r="CH86" s="1872"/>
      <c r="CI86" s="1872"/>
      <c r="CJ86" s="1872"/>
      <c r="CK86" s="1872"/>
      <c r="CL86" s="1872"/>
      <c r="CM86" s="1872"/>
      <c r="CN86" s="1872"/>
      <c r="CO86" s="1872"/>
      <c r="CP86" s="1872"/>
      <c r="CQ86" s="1872"/>
      <c r="CR86" s="1872"/>
      <c r="CS86" s="1872"/>
      <c r="CT86" s="1872"/>
      <c r="CU86" s="1872"/>
      <c r="CV86" s="1872"/>
      <c r="CW86" s="1872"/>
      <c r="CX86" s="1872"/>
      <c r="CY86" s="1872"/>
      <c r="CZ86" s="1872"/>
      <c r="DA86" s="1873"/>
    </row>
    <row r="87" spans="1:105" ht="12.75" customHeight="1" thickBot="1">
      <c r="A87" s="1862"/>
      <c r="B87" s="1863"/>
      <c r="C87" s="1864"/>
      <c r="D87" s="1889"/>
      <c r="E87" s="1890"/>
      <c r="F87" s="1890"/>
      <c r="G87" s="1890"/>
      <c r="H87" s="1890"/>
      <c r="I87" s="1890"/>
      <c r="J87" s="1890"/>
      <c r="K87" s="1890"/>
      <c r="L87" s="1890"/>
      <c r="M87" s="1890"/>
      <c r="N87" s="1890"/>
      <c r="O87" s="1890"/>
      <c r="P87" s="1890"/>
      <c r="Q87" s="1890"/>
      <c r="R87" s="1890"/>
      <c r="S87" s="1890"/>
      <c r="T87" s="1890"/>
      <c r="U87" s="1890"/>
      <c r="V87" s="1890"/>
      <c r="W87" s="1890"/>
      <c r="X87" s="1890"/>
      <c r="Y87" s="1890"/>
      <c r="Z87" s="1890"/>
      <c r="AA87" s="1890"/>
      <c r="AB87" s="1890"/>
      <c r="AC87" s="1890"/>
      <c r="AD87" s="1890"/>
      <c r="AE87" s="1890"/>
      <c r="AF87" s="1890"/>
      <c r="AG87" s="1890"/>
      <c r="AH87" s="1890"/>
      <c r="AI87" s="1890"/>
      <c r="AJ87" s="1890"/>
      <c r="AK87" s="1890"/>
      <c r="AL87" s="1891"/>
      <c r="AM87" s="1925"/>
      <c r="AN87" s="1926"/>
      <c r="AO87" s="1926"/>
      <c r="AP87" s="1926"/>
      <c r="AQ87" s="1926"/>
      <c r="AR87" s="1926"/>
      <c r="AS87" s="1926"/>
      <c r="AT87" s="1926"/>
      <c r="AU87" s="1926"/>
      <c r="AV87" s="1926"/>
      <c r="AW87" s="1926"/>
      <c r="AX87" s="1926"/>
      <c r="AY87" s="1926"/>
      <c r="AZ87" s="1927"/>
      <c r="BB87" s="1865"/>
      <c r="BC87" s="1866"/>
      <c r="BD87" s="1866"/>
      <c r="BE87" s="1866"/>
      <c r="BF87" s="1866"/>
      <c r="BG87" s="1866"/>
      <c r="BH87" s="1866"/>
      <c r="BI87" s="1866"/>
      <c r="BJ87" s="1866"/>
      <c r="BK87" s="1867"/>
      <c r="BL87" s="1874"/>
      <c r="BM87" s="1875"/>
      <c r="BN87" s="1875"/>
      <c r="BO87" s="1875"/>
      <c r="BP87" s="1875"/>
      <c r="BQ87" s="1875"/>
      <c r="BR87" s="1875"/>
      <c r="BS87" s="1875"/>
      <c r="BT87" s="1875"/>
      <c r="BU87" s="1875"/>
      <c r="BV87" s="1875"/>
      <c r="BW87" s="1875"/>
      <c r="BX87" s="1875"/>
      <c r="BY87" s="1875"/>
      <c r="BZ87" s="1875"/>
      <c r="CA87" s="1875"/>
      <c r="CB87" s="1875"/>
      <c r="CC87" s="1875"/>
      <c r="CD87" s="1875"/>
      <c r="CE87" s="1875"/>
      <c r="CF87" s="1875"/>
      <c r="CG87" s="1875"/>
      <c r="CH87" s="1875"/>
      <c r="CI87" s="1875"/>
      <c r="CJ87" s="1875"/>
      <c r="CK87" s="1875"/>
      <c r="CL87" s="1875"/>
      <c r="CM87" s="1875"/>
      <c r="CN87" s="1875"/>
      <c r="CO87" s="1875"/>
      <c r="CP87" s="1875"/>
      <c r="CQ87" s="1875"/>
      <c r="CR87" s="1875"/>
      <c r="CS87" s="1875"/>
      <c r="CT87" s="1875"/>
      <c r="CU87" s="1875"/>
      <c r="CV87" s="1875"/>
      <c r="CW87" s="1875"/>
      <c r="CX87" s="1875"/>
      <c r="CY87" s="1875"/>
      <c r="CZ87" s="1875"/>
      <c r="DA87" s="1876"/>
    </row>
    <row r="88" spans="1:105" ht="13.5" customHeight="1" thickBot="1">
      <c r="A88" s="1865"/>
      <c r="B88" s="1866"/>
      <c r="C88" s="1867"/>
      <c r="D88" s="1892"/>
      <c r="E88" s="1893"/>
      <c r="F88" s="1893"/>
      <c r="G88" s="1893"/>
      <c r="H88" s="1893"/>
      <c r="I88" s="1893"/>
      <c r="J88" s="1893"/>
      <c r="K88" s="1893"/>
      <c r="L88" s="1893"/>
      <c r="M88" s="1893"/>
      <c r="N88" s="1893"/>
      <c r="O88" s="1893"/>
      <c r="P88" s="1893"/>
      <c r="Q88" s="1893"/>
      <c r="R88" s="1893"/>
      <c r="S88" s="1893"/>
      <c r="T88" s="1893"/>
      <c r="U88" s="1893"/>
      <c r="V88" s="1893"/>
      <c r="W88" s="1893"/>
      <c r="X88" s="1893"/>
      <c r="Y88" s="1893"/>
      <c r="Z88" s="1893"/>
      <c r="AA88" s="1893"/>
      <c r="AB88" s="1893"/>
      <c r="AC88" s="1893"/>
      <c r="AD88" s="1893"/>
      <c r="AE88" s="1893"/>
      <c r="AF88" s="1893"/>
      <c r="AG88" s="1893"/>
      <c r="AH88" s="1893"/>
      <c r="AI88" s="1893"/>
      <c r="AJ88" s="1893"/>
      <c r="AK88" s="1893"/>
      <c r="AL88" s="1894"/>
      <c r="AM88" s="1928"/>
      <c r="AN88" s="1929"/>
      <c r="AO88" s="1929"/>
      <c r="AP88" s="1929"/>
      <c r="AQ88" s="1929"/>
      <c r="AR88" s="1929"/>
      <c r="AS88" s="1929"/>
      <c r="AT88" s="1929"/>
      <c r="AU88" s="1929"/>
      <c r="AV88" s="1929"/>
      <c r="AW88" s="1929"/>
      <c r="AX88" s="1929"/>
      <c r="AY88" s="1929"/>
      <c r="AZ88" s="1930"/>
      <c r="BB88" s="1859" t="s">
        <v>1338</v>
      </c>
      <c r="BC88" s="1860"/>
      <c r="BD88" s="1860"/>
      <c r="BE88" s="1860"/>
      <c r="BF88" s="1860"/>
      <c r="BG88" s="1860"/>
      <c r="BH88" s="1860"/>
      <c r="BI88" s="1860"/>
      <c r="BJ88" s="1860"/>
      <c r="BK88" s="1861"/>
      <c r="BL88" s="1868" t="s">
        <v>1370</v>
      </c>
      <c r="BM88" s="1869"/>
      <c r="BN88" s="1869"/>
      <c r="BO88" s="1869"/>
      <c r="BP88" s="1869"/>
      <c r="BQ88" s="1869"/>
      <c r="BR88" s="1869"/>
      <c r="BS88" s="1869"/>
      <c r="BT88" s="1869"/>
      <c r="BU88" s="1869"/>
      <c r="BV88" s="1869"/>
      <c r="BW88" s="1869"/>
      <c r="BX88" s="1869"/>
      <c r="BY88" s="1869"/>
      <c r="BZ88" s="1869"/>
      <c r="CA88" s="1869"/>
      <c r="CB88" s="1869"/>
      <c r="CC88" s="1869"/>
      <c r="CD88" s="1869"/>
      <c r="CE88" s="1869"/>
      <c r="CF88" s="1869"/>
      <c r="CG88" s="1869"/>
      <c r="CH88" s="1869"/>
      <c r="CI88" s="1869"/>
      <c r="CJ88" s="1869"/>
      <c r="CK88" s="1869"/>
      <c r="CL88" s="1869"/>
      <c r="CM88" s="1869"/>
      <c r="CN88" s="1869"/>
      <c r="CO88" s="1869"/>
      <c r="CP88" s="1869"/>
      <c r="CQ88" s="1869"/>
      <c r="CR88" s="1869"/>
      <c r="CS88" s="1869"/>
      <c r="CT88" s="1869"/>
      <c r="CU88" s="1869"/>
      <c r="CV88" s="1869"/>
      <c r="CW88" s="1869"/>
      <c r="CX88" s="1869"/>
      <c r="CY88" s="1869"/>
      <c r="CZ88" s="1869"/>
      <c r="DA88" s="1870"/>
    </row>
    <row r="89" spans="1:105" ht="12.75" customHeight="1">
      <c r="A89" s="1859">
        <v>20</v>
      </c>
      <c r="B89" s="1860"/>
      <c r="C89" s="1861"/>
      <c r="D89" s="1868" t="s">
        <v>1382</v>
      </c>
      <c r="E89" s="1869"/>
      <c r="F89" s="1869"/>
      <c r="G89" s="1869"/>
      <c r="H89" s="1869"/>
      <c r="I89" s="1869"/>
      <c r="J89" s="1869"/>
      <c r="K89" s="1869"/>
      <c r="L89" s="1869"/>
      <c r="M89" s="1869"/>
      <c r="N89" s="1869"/>
      <c r="O89" s="1869"/>
      <c r="P89" s="1869"/>
      <c r="Q89" s="1869"/>
      <c r="R89" s="1869"/>
      <c r="S89" s="1869"/>
      <c r="T89" s="1869"/>
      <c r="U89" s="1869"/>
      <c r="V89" s="1869"/>
      <c r="W89" s="1869"/>
      <c r="X89" s="1869"/>
      <c r="Y89" s="1869"/>
      <c r="Z89" s="1869"/>
      <c r="AA89" s="1869"/>
      <c r="AB89" s="1869"/>
      <c r="AC89" s="1869"/>
      <c r="AD89" s="1869"/>
      <c r="AE89" s="1869"/>
      <c r="AF89" s="1869"/>
      <c r="AG89" s="1869"/>
      <c r="AH89" s="1869"/>
      <c r="AI89" s="1869"/>
      <c r="AJ89" s="1869"/>
      <c r="AK89" s="1869"/>
      <c r="AL89" s="1870"/>
      <c r="AM89" s="1922" t="s">
        <v>1386</v>
      </c>
      <c r="AN89" s="1923"/>
      <c r="AO89" s="1923"/>
      <c r="AP89" s="1923"/>
      <c r="AQ89" s="1923"/>
      <c r="AR89" s="1923"/>
      <c r="AS89" s="1923"/>
      <c r="AT89" s="1923"/>
      <c r="AU89" s="1923"/>
      <c r="AV89" s="1923"/>
      <c r="AW89" s="1923"/>
      <c r="AX89" s="1923"/>
      <c r="AY89" s="1923"/>
      <c r="AZ89" s="1924"/>
      <c r="BB89" s="1862"/>
      <c r="BC89" s="1863"/>
      <c r="BD89" s="1863"/>
      <c r="BE89" s="1863"/>
      <c r="BF89" s="1863"/>
      <c r="BG89" s="1863"/>
      <c r="BH89" s="1863"/>
      <c r="BI89" s="1863"/>
      <c r="BJ89" s="1863"/>
      <c r="BK89" s="1864"/>
      <c r="BL89" s="1871"/>
      <c r="BM89" s="1872"/>
      <c r="BN89" s="1872"/>
      <c r="BO89" s="1872"/>
      <c r="BP89" s="1872"/>
      <c r="BQ89" s="1872"/>
      <c r="BR89" s="1872"/>
      <c r="BS89" s="1872"/>
      <c r="BT89" s="1872"/>
      <c r="BU89" s="1872"/>
      <c r="BV89" s="1872"/>
      <c r="BW89" s="1872"/>
      <c r="BX89" s="1872"/>
      <c r="BY89" s="1872"/>
      <c r="BZ89" s="1872"/>
      <c r="CA89" s="1872"/>
      <c r="CB89" s="1872"/>
      <c r="CC89" s="1872"/>
      <c r="CD89" s="1872"/>
      <c r="CE89" s="1872"/>
      <c r="CF89" s="1872"/>
      <c r="CG89" s="1872"/>
      <c r="CH89" s="1872"/>
      <c r="CI89" s="1872"/>
      <c r="CJ89" s="1872"/>
      <c r="CK89" s="1872"/>
      <c r="CL89" s="1872"/>
      <c r="CM89" s="1872"/>
      <c r="CN89" s="1872"/>
      <c r="CO89" s="1872"/>
      <c r="CP89" s="1872"/>
      <c r="CQ89" s="1872"/>
      <c r="CR89" s="1872"/>
      <c r="CS89" s="1872"/>
      <c r="CT89" s="1872"/>
      <c r="CU89" s="1872"/>
      <c r="CV89" s="1872"/>
      <c r="CW89" s="1872"/>
      <c r="CX89" s="1872"/>
      <c r="CY89" s="1872"/>
      <c r="CZ89" s="1872"/>
      <c r="DA89" s="1873"/>
    </row>
    <row r="90" spans="1:105" ht="12.75" customHeight="1">
      <c r="A90" s="1862"/>
      <c r="B90" s="1863"/>
      <c r="C90" s="1864"/>
      <c r="D90" s="1871"/>
      <c r="E90" s="1872"/>
      <c r="F90" s="1872"/>
      <c r="G90" s="1872"/>
      <c r="H90" s="1872"/>
      <c r="I90" s="1872"/>
      <c r="J90" s="1872"/>
      <c r="K90" s="1872"/>
      <c r="L90" s="1872"/>
      <c r="M90" s="1872"/>
      <c r="N90" s="1872"/>
      <c r="O90" s="1872"/>
      <c r="P90" s="1872"/>
      <c r="Q90" s="1872"/>
      <c r="R90" s="1872"/>
      <c r="S90" s="1872"/>
      <c r="T90" s="1872"/>
      <c r="U90" s="1872"/>
      <c r="V90" s="1872"/>
      <c r="W90" s="1872"/>
      <c r="X90" s="1872"/>
      <c r="Y90" s="1872"/>
      <c r="Z90" s="1872"/>
      <c r="AA90" s="1872"/>
      <c r="AB90" s="1872"/>
      <c r="AC90" s="1872"/>
      <c r="AD90" s="1872"/>
      <c r="AE90" s="1872"/>
      <c r="AF90" s="1872"/>
      <c r="AG90" s="1872"/>
      <c r="AH90" s="1872"/>
      <c r="AI90" s="1872"/>
      <c r="AJ90" s="1872"/>
      <c r="AK90" s="1872"/>
      <c r="AL90" s="1873"/>
      <c r="AM90" s="1925"/>
      <c r="AN90" s="1926"/>
      <c r="AO90" s="1926"/>
      <c r="AP90" s="1926"/>
      <c r="AQ90" s="1926"/>
      <c r="AR90" s="1926"/>
      <c r="AS90" s="1926"/>
      <c r="AT90" s="1926"/>
      <c r="AU90" s="1926"/>
      <c r="AV90" s="1926"/>
      <c r="AW90" s="1926"/>
      <c r="AX90" s="1926"/>
      <c r="AY90" s="1926"/>
      <c r="AZ90" s="1927"/>
      <c r="BB90" s="1862"/>
      <c r="BC90" s="1863"/>
      <c r="BD90" s="1863"/>
      <c r="BE90" s="1863"/>
      <c r="BF90" s="1863"/>
      <c r="BG90" s="1863"/>
      <c r="BH90" s="1863"/>
      <c r="BI90" s="1863"/>
      <c r="BJ90" s="1863"/>
      <c r="BK90" s="1864"/>
      <c r="BL90" s="1871"/>
      <c r="BM90" s="1872"/>
      <c r="BN90" s="1872"/>
      <c r="BO90" s="1872"/>
      <c r="BP90" s="1872"/>
      <c r="BQ90" s="1872"/>
      <c r="BR90" s="1872"/>
      <c r="BS90" s="1872"/>
      <c r="BT90" s="1872"/>
      <c r="BU90" s="1872"/>
      <c r="BV90" s="1872"/>
      <c r="BW90" s="1872"/>
      <c r="BX90" s="1872"/>
      <c r="BY90" s="1872"/>
      <c r="BZ90" s="1872"/>
      <c r="CA90" s="1872"/>
      <c r="CB90" s="1872"/>
      <c r="CC90" s="1872"/>
      <c r="CD90" s="1872"/>
      <c r="CE90" s="1872"/>
      <c r="CF90" s="1872"/>
      <c r="CG90" s="1872"/>
      <c r="CH90" s="1872"/>
      <c r="CI90" s="1872"/>
      <c r="CJ90" s="1872"/>
      <c r="CK90" s="1872"/>
      <c r="CL90" s="1872"/>
      <c r="CM90" s="1872"/>
      <c r="CN90" s="1872"/>
      <c r="CO90" s="1872"/>
      <c r="CP90" s="1872"/>
      <c r="CQ90" s="1872"/>
      <c r="CR90" s="1872"/>
      <c r="CS90" s="1872"/>
      <c r="CT90" s="1872"/>
      <c r="CU90" s="1872"/>
      <c r="CV90" s="1872"/>
      <c r="CW90" s="1872"/>
      <c r="CX90" s="1872"/>
      <c r="CY90" s="1872"/>
      <c r="CZ90" s="1872"/>
      <c r="DA90" s="1873"/>
    </row>
    <row r="91" spans="1:105" ht="35.25" customHeight="1" thickBot="1">
      <c r="A91" s="1865"/>
      <c r="B91" s="1866"/>
      <c r="C91" s="1867"/>
      <c r="D91" s="1874"/>
      <c r="E91" s="1875"/>
      <c r="F91" s="1875"/>
      <c r="G91" s="1875"/>
      <c r="H91" s="1875"/>
      <c r="I91" s="1875"/>
      <c r="J91" s="1875"/>
      <c r="K91" s="1875"/>
      <c r="L91" s="1875"/>
      <c r="M91" s="1875"/>
      <c r="N91" s="1875"/>
      <c r="O91" s="1875"/>
      <c r="P91" s="1875"/>
      <c r="Q91" s="1875"/>
      <c r="R91" s="1875"/>
      <c r="S91" s="1875"/>
      <c r="T91" s="1875"/>
      <c r="U91" s="1875"/>
      <c r="V91" s="1875"/>
      <c r="W91" s="1875"/>
      <c r="X91" s="1875"/>
      <c r="Y91" s="1875"/>
      <c r="Z91" s="1875"/>
      <c r="AA91" s="1875"/>
      <c r="AB91" s="1875"/>
      <c r="AC91" s="1875"/>
      <c r="AD91" s="1875"/>
      <c r="AE91" s="1875"/>
      <c r="AF91" s="1875"/>
      <c r="AG91" s="1875"/>
      <c r="AH91" s="1875"/>
      <c r="AI91" s="1875"/>
      <c r="AJ91" s="1875"/>
      <c r="AK91" s="1875"/>
      <c r="AL91" s="1876"/>
      <c r="AM91" s="1928"/>
      <c r="AN91" s="1929"/>
      <c r="AO91" s="1929"/>
      <c r="AP91" s="1929"/>
      <c r="AQ91" s="1929"/>
      <c r="AR91" s="1929"/>
      <c r="AS91" s="1929"/>
      <c r="AT91" s="1929"/>
      <c r="AU91" s="1929"/>
      <c r="AV91" s="1929"/>
      <c r="AW91" s="1929"/>
      <c r="AX91" s="1929"/>
      <c r="AY91" s="1929"/>
      <c r="AZ91" s="1930"/>
      <c r="BB91" s="1862"/>
      <c r="BC91" s="1863"/>
      <c r="BD91" s="1863"/>
      <c r="BE91" s="1863"/>
      <c r="BF91" s="1863"/>
      <c r="BG91" s="1863"/>
      <c r="BH91" s="1863"/>
      <c r="BI91" s="1863"/>
      <c r="BJ91" s="1863"/>
      <c r="BK91" s="1864"/>
      <c r="BL91" s="1871"/>
      <c r="BM91" s="1872"/>
      <c r="BN91" s="1872"/>
      <c r="BO91" s="1872"/>
      <c r="BP91" s="1872"/>
      <c r="BQ91" s="1872"/>
      <c r="BR91" s="1872"/>
      <c r="BS91" s="1872"/>
      <c r="BT91" s="1872"/>
      <c r="BU91" s="1872"/>
      <c r="BV91" s="1872"/>
      <c r="BW91" s="1872"/>
      <c r="BX91" s="1872"/>
      <c r="BY91" s="1872"/>
      <c r="BZ91" s="1872"/>
      <c r="CA91" s="1872"/>
      <c r="CB91" s="1872"/>
      <c r="CC91" s="1872"/>
      <c r="CD91" s="1872"/>
      <c r="CE91" s="1872"/>
      <c r="CF91" s="1872"/>
      <c r="CG91" s="1872"/>
      <c r="CH91" s="1872"/>
      <c r="CI91" s="1872"/>
      <c r="CJ91" s="1872"/>
      <c r="CK91" s="1872"/>
      <c r="CL91" s="1872"/>
      <c r="CM91" s="1872"/>
      <c r="CN91" s="1872"/>
      <c r="CO91" s="1872"/>
      <c r="CP91" s="1872"/>
      <c r="CQ91" s="1872"/>
      <c r="CR91" s="1872"/>
      <c r="CS91" s="1872"/>
      <c r="CT91" s="1872"/>
      <c r="CU91" s="1872"/>
      <c r="CV91" s="1872"/>
      <c r="CW91" s="1872"/>
      <c r="CX91" s="1872"/>
      <c r="CY91" s="1872"/>
      <c r="CZ91" s="1872"/>
      <c r="DA91" s="1873"/>
    </row>
    <row r="92" spans="1:105" ht="21" customHeight="1" thickBot="1">
      <c r="A92" s="1859">
        <v>21</v>
      </c>
      <c r="B92" s="1860"/>
      <c r="C92" s="1861"/>
      <c r="D92" s="1868" t="s">
        <v>1383</v>
      </c>
      <c r="E92" s="1869"/>
      <c r="F92" s="1869"/>
      <c r="G92" s="1869"/>
      <c r="H92" s="1869"/>
      <c r="I92" s="1869"/>
      <c r="J92" s="1869"/>
      <c r="K92" s="1869"/>
      <c r="L92" s="1869"/>
      <c r="M92" s="1869"/>
      <c r="N92" s="1869"/>
      <c r="O92" s="1869"/>
      <c r="P92" s="1869"/>
      <c r="Q92" s="1869"/>
      <c r="R92" s="1869"/>
      <c r="S92" s="1869"/>
      <c r="T92" s="1869"/>
      <c r="U92" s="1869"/>
      <c r="V92" s="1869"/>
      <c r="W92" s="1869"/>
      <c r="X92" s="1869"/>
      <c r="Y92" s="1869"/>
      <c r="Z92" s="1869"/>
      <c r="AA92" s="1869"/>
      <c r="AB92" s="1869"/>
      <c r="AC92" s="1869"/>
      <c r="AD92" s="1869"/>
      <c r="AE92" s="1869"/>
      <c r="AF92" s="1869"/>
      <c r="AG92" s="1869"/>
      <c r="AH92" s="1869"/>
      <c r="AI92" s="1869"/>
      <c r="AJ92" s="1869"/>
      <c r="AK92" s="1869"/>
      <c r="AL92" s="1870"/>
      <c r="AM92" s="1922" t="s">
        <v>1386</v>
      </c>
      <c r="AN92" s="1923"/>
      <c r="AO92" s="1923"/>
      <c r="AP92" s="1923"/>
      <c r="AQ92" s="1923"/>
      <c r="AR92" s="1923"/>
      <c r="AS92" s="1923"/>
      <c r="AT92" s="1923"/>
      <c r="AU92" s="1923"/>
      <c r="AV92" s="1923"/>
      <c r="AW92" s="1923"/>
      <c r="AX92" s="1923"/>
      <c r="AY92" s="1923"/>
      <c r="AZ92" s="1924"/>
      <c r="BB92" s="1865"/>
      <c r="BC92" s="1866"/>
      <c r="BD92" s="1866"/>
      <c r="BE92" s="1866"/>
      <c r="BF92" s="1866"/>
      <c r="BG92" s="1866"/>
      <c r="BH92" s="1866"/>
      <c r="BI92" s="1866"/>
      <c r="BJ92" s="1866"/>
      <c r="BK92" s="1867"/>
      <c r="BL92" s="1874"/>
      <c r="BM92" s="1875"/>
      <c r="BN92" s="1875"/>
      <c r="BO92" s="1875"/>
      <c r="BP92" s="1875"/>
      <c r="BQ92" s="1875"/>
      <c r="BR92" s="1875"/>
      <c r="BS92" s="1875"/>
      <c r="BT92" s="1875"/>
      <c r="BU92" s="1875"/>
      <c r="BV92" s="1875"/>
      <c r="BW92" s="1875"/>
      <c r="BX92" s="1875"/>
      <c r="BY92" s="1875"/>
      <c r="BZ92" s="1875"/>
      <c r="CA92" s="1875"/>
      <c r="CB92" s="1875"/>
      <c r="CC92" s="1875"/>
      <c r="CD92" s="1875"/>
      <c r="CE92" s="1875"/>
      <c r="CF92" s="1875"/>
      <c r="CG92" s="1875"/>
      <c r="CH92" s="1875"/>
      <c r="CI92" s="1875"/>
      <c r="CJ92" s="1875"/>
      <c r="CK92" s="1875"/>
      <c r="CL92" s="1875"/>
      <c r="CM92" s="1875"/>
      <c r="CN92" s="1875"/>
      <c r="CO92" s="1875"/>
      <c r="CP92" s="1875"/>
      <c r="CQ92" s="1875"/>
      <c r="CR92" s="1875"/>
      <c r="CS92" s="1875"/>
      <c r="CT92" s="1875"/>
      <c r="CU92" s="1875"/>
      <c r="CV92" s="1875"/>
      <c r="CW92" s="1875"/>
      <c r="CX92" s="1875"/>
      <c r="CY92" s="1875"/>
      <c r="CZ92" s="1875"/>
      <c r="DA92" s="1876"/>
    </row>
    <row r="93" spans="1:105" ht="12.75" customHeight="1">
      <c r="A93" s="1862"/>
      <c r="B93" s="1863"/>
      <c r="C93" s="1864"/>
      <c r="D93" s="1871"/>
      <c r="E93" s="1872"/>
      <c r="F93" s="1872"/>
      <c r="G93" s="1872"/>
      <c r="H93" s="1872"/>
      <c r="I93" s="1872"/>
      <c r="J93" s="1872"/>
      <c r="K93" s="1872"/>
      <c r="L93" s="1872"/>
      <c r="M93" s="1872"/>
      <c r="N93" s="1872"/>
      <c r="O93" s="1872"/>
      <c r="P93" s="1872"/>
      <c r="Q93" s="1872"/>
      <c r="R93" s="1872"/>
      <c r="S93" s="1872"/>
      <c r="T93" s="1872"/>
      <c r="U93" s="1872"/>
      <c r="V93" s="1872"/>
      <c r="W93" s="1872"/>
      <c r="X93" s="1872"/>
      <c r="Y93" s="1872"/>
      <c r="Z93" s="1872"/>
      <c r="AA93" s="1872"/>
      <c r="AB93" s="1872"/>
      <c r="AC93" s="1872"/>
      <c r="AD93" s="1872"/>
      <c r="AE93" s="1872"/>
      <c r="AF93" s="1872"/>
      <c r="AG93" s="1872"/>
      <c r="AH93" s="1872"/>
      <c r="AI93" s="1872"/>
      <c r="AJ93" s="1872"/>
      <c r="AK93" s="1872"/>
      <c r="AL93" s="1873"/>
      <c r="AM93" s="1925"/>
      <c r="AN93" s="1926"/>
      <c r="AO93" s="1926"/>
      <c r="AP93" s="1926"/>
      <c r="AQ93" s="1926"/>
      <c r="AR93" s="1926"/>
      <c r="AS93" s="1926"/>
      <c r="AT93" s="1926"/>
      <c r="AU93" s="1926"/>
      <c r="AV93" s="1926"/>
      <c r="AW93" s="1926"/>
      <c r="AX93" s="1926"/>
      <c r="AY93" s="1926"/>
      <c r="AZ93" s="1927"/>
    </row>
    <row r="94" spans="1:105" ht="13.5" customHeight="1" thickBot="1">
      <c r="A94" s="1865"/>
      <c r="B94" s="1866"/>
      <c r="C94" s="1867"/>
      <c r="D94" s="1874"/>
      <c r="E94" s="1875"/>
      <c r="F94" s="1875"/>
      <c r="G94" s="1875"/>
      <c r="H94" s="1875"/>
      <c r="I94" s="1875"/>
      <c r="J94" s="1875"/>
      <c r="K94" s="1875"/>
      <c r="L94" s="1875"/>
      <c r="M94" s="1875"/>
      <c r="N94" s="1875"/>
      <c r="O94" s="1875"/>
      <c r="P94" s="1875"/>
      <c r="Q94" s="1875"/>
      <c r="R94" s="1875"/>
      <c r="S94" s="1875"/>
      <c r="T94" s="1875"/>
      <c r="U94" s="1875"/>
      <c r="V94" s="1875"/>
      <c r="W94" s="1875"/>
      <c r="X94" s="1875"/>
      <c r="Y94" s="1875"/>
      <c r="Z94" s="1875"/>
      <c r="AA94" s="1875"/>
      <c r="AB94" s="1875"/>
      <c r="AC94" s="1875"/>
      <c r="AD94" s="1875"/>
      <c r="AE94" s="1875"/>
      <c r="AF94" s="1875"/>
      <c r="AG94" s="1875"/>
      <c r="AH94" s="1875"/>
      <c r="AI94" s="1875"/>
      <c r="AJ94" s="1875"/>
      <c r="AK94" s="1875"/>
      <c r="AL94" s="1876"/>
      <c r="AM94" s="1928"/>
      <c r="AN94" s="1929"/>
      <c r="AO94" s="1929"/>
      <c r="AP94" s="1929"/>
      <c r="AQ94" s="1929"/>
      <c r="AR94" s="1929"/>
      <c r="AS94" s="1929"/>
      <c r="AT94" s="1929"/>
      <c r="AU94" s="1929"/>
      <c r="AV94" s="1929"/>
      <c r="AW94" s="1929"/>
      <c r="AX94" s="1929"/>
      <c r="AY94" s="1929"/>
      <c r="AZ94" s="1930"/>
    </row>
    <row r="95" spans="1:105" ht="12.75" customHeight="1">
      <c r="A95" s="1859">
        <v>22</v>
      </c>
      <c r="B95" s="1860"/>
      <c r="C95" s="1861"/>
      <c r="D95" s="1868" t="s">
        <v>1384</v>
      </c>
      <c r="E95" s="1869"/>
      <c r="F95" s="1869"/>
      <c r="G95" s="1869"/>
      <c r="H95" s="1869"/>
      <c r="I95" s="1869"/>
      <c r="J95" s="1869"/>
      <c r="K95" s="1869"/>
      <c r="L95" s="1869"/>
      <c r="M95" s="1869"/>
      <c r="N95" s="1869"/>
      <c r="O95" s="1869"/>
      <c r="P95" s="1869"/>
      <c r="Q95" s="1869"/>
      <c r="R95" s="1869"/>
      <c r="S95" s="1869"/>
      <c r="T95" s="1869"/>
      <c r="U95" s="1869"/>
      <c r="V95" s="1869"/>
      <c r="W95" s="1869"/>
      <c r="X95" s="1869"/>
      <c r="Y95" s="1869"/>
      <c r="Z95" s="1869"/>
      <c r="AA95" s="1869"/>
      <c r="AB95" s="1869"/>
      <c r="AC95" s="1869"/>
      <c r="AD95" s="1869"/>
      <c r="AE95" s="1869"/>
      <c r="AF95" s="1869"/>
      <c r="AG95" s="1869"/>
      <c r="AH95" s="1869"/>
      <c r="AI95" s="1869"/>
      <c r="AJ95" s="1869"/>
      <c r="AK95" s="1869"/>
      <c r="AL95" s="1870"/>
      <c r="AM95" s="1922" t="s">
        <v>1386</v>
      </c>
      <c r="AN95" s="1923"/>
      <c r="AO95" s="1923"/>
      <c r="AP95" s="1923"/>
      <c r="AQ95" s="1923"/>
      <c r="AR95" s="1923"/>
      <c r="AS95" s="1923"/>
      <c r="AT95" s="1923"/>
      <c r="AU95" s="1923"/>
      <c r="AV95" s="1923"/>
      <c r="AW95" s="1923"/>
      <c r="AX95" s="1923"/>
      <c r="AY95" s="1923"/>
      <c r="AZ95" s="1924"/>
    </row>
    <row r="96" spans="1:105" ht="12.75" customHeight="1">
      <c r="A96" s="1862"/>
      <c r="B96" s="1863"/>
      <c r="C96" s="1864"/>
      <c r="D96" s="1871"/>
      <c r="E96" s="1872"/>
      <c r="F96" s="1872"/>
      <c r="G96" s="1872"/>
      <c r="H96" s="1872"/>
      <c r="I96" s="1872"/>
      <c r="J96" s="1872"/>
      <c r="K96" s="1872"/>
      <c r="L96" s="1872"/>
      <c r="M96" s="1872"/>
      <c r="N96" s="1872"/>
      <c r="O96" s="1872"/>
      <c r="P96" s="1872"/>
      <c r="Q96" s="1872"/>
      <c r="R96" s="1872"/>
      <c r="S96" s="1872"/>
      <c r="T96" s="1872"/>
      <c r="U96" s="1872"/>
      <c r="V96" s="1872"/>
      <c r="W96" s="1872"/>
      <c r="X96" s="1872"/>
      <c r="Y96" s="1872"/>
      <c r="Z96" s="1872"/>
      <c r="AA96" s="1872"/>
      <c r="AB96" s="1872"/>
      <c r="AC96" s="1872"/>
      <c r="AD96" s="1872"/>
      <c r="AE96" s="1872"/>
      <c r="AF96" s="1872"/>
      <c r="AG96" s="1872"/>
      <c r="AH96" s="1872"/>
      <c r="AI96" s="1872"/>
      <c r="AJ96" s="1872"/>
      <c r="AK96" s="1872"/>
      <c r="AL96" s="1873"/>
      <c r="AM96" s="1925"/>
      <c r="AN96" s="1926"/>
      <c r="AO96" s="1926"/>
      <c r="AP96" s="1926"/>
      <c r="AQ96" s="1926"/>
      <c r="AR96" s="1926"/>
      <c r="AS96" s="1926"/>
      <c r="AT96" s="1926"/>
      <c r="AU96" s="1926"/>
      <c r="AV96" s="1926"/>
      <c r="AW96" s="1926"/>
      <c r="AX96" s="1926"/>
      <c r="AY96" s="1926"/>
      <c r="AZ96" s="1927"/>
    </row>
    <row r="97" spans="1:52" ht="22.5" customHeight="1" thickBot="1">
      <c r="A97" s="1865"/>
      <c r="B97" s="1866"/>
      <c r="C97" s="1867"/>
      <c r="D97" s="1874"/>
      <c r="E97" s="1875"/>
      <c r="F97" s="1875"/>
      <c r="G97" s="1875"/>
      <c r="H97" s="1875"/>
      <c r="I97" s="1875"/>
      <c r="J97" s="1875"/>
      <c r="K97" s="1875"/>
      <c r="L97" s="1875"/>
      <c r="M97" s="1875"/>
      <c r="N97" s="1875"/>
      <c r="O97" s="1875"/>
      <c r="P97" s="1875"/>
      <c r="Q97" s="1875"/>
      <c r="R97" s="1875"/>
      <c r="S97" s="1875"/>
      <c r="T97" s="1875"/>
      <c r="U97" s="1875"/>
      <c r="V97" s="1875"/>
      <c r="W97" s="1875"/>
      <c r="X97" s="1875"/>
      <c r="Y97" s="1875"/>
      <c r="Z97" s="1875"/>
      <c r="AA97" s="1875"/>
      <c r="AB97" s="1875"/>
      <c r="AC97" s="1875"/>
      <c r="AD97" s="1875"/>
      <c r="AE97" s="1875"/>
      <c r="AF97" s="1875"/>
      <c r="AG97" s="1875"/>
      <c r="AH97" s="1875"/>
      <c r="AI97" s="1875"/>
      <c r="AJ97" s="1875"/>
      <c r="AK97" s="1875"/>
      <c r="AL97" s="1876"/>
      <c r="AM97" s="1928"/>
      <c r="AN97" s="1929"/>
      <c r="AO97" s="1929"/>
      <c r="AP97" s="1929"/>
      <c r="AQ97" s="1929"/>
      <c r="AR97" s="1929"/>
      <c r="AS97" s="1929"/>
      <c r="AT97" s="1929"/>
      <c r="AU97" s="1929"/>
      <c r="AV97" s="1929"/>
      <c r="AW97" s="1929"/>
      <c r="AX97" s="1929"/>
      <c r="AY97" s="1929"/>
      <c r="AZ97" s="1930"/>
    </row>
    <row r="98" spans="1:52" ht="13.5" thickBot="1"/>
    <row r="99" spans="1:52">
      <c r="AM99" s="1904" t="s">
        <v>1385</v>
      </c>
      <c r="AN99" s="1905"/>
      <c r="AO99" s="1905"/>
      <c r="AP99" s="1905"/>
      <c r="AQ99" s="1905"/>
      <c r="AR99" s="1905"/>
      <c r="AS99" s="1905"/>
      <c r="AT99" s="1905"/>
      <c r="AU99" s="1905"/>
      <c r="AV99" s="1905"/>
      <c r="AW99" s="1905"/>
      <c r="AX99" s="1905"/>
      <c r="AY99" s="1905"/>
      <c r="AZ99" s="1906"/>
    </row>
    <row r="100" spans="1:52">
      <c r="AM100" s="1907"/>
      <c r="AN100" s="1908"/>
      <c r="AO100" s="1908"/>
      <c r="AP100" s="1908"/>
      <c r="AQ100" s="1908"/>
      <c r="AR100" s="1908"/>
      <c r="AS100" s="1908"/>
      <c r="AT100" s="1908"/>
      <c r="AU100" s="1908"/>
      <c r="AV100" s="1908"/>
      <c r="AW100" s="1908"/>
      <c r="AX100" s="1908"/>
      <c r="AY100" s="1908"/>
      <c r="AZ100" s="1909"/>
    </row>
    <row r="101" spans="1:52">
      <c r="AM101" s="1907"/>
      <c r="AN101" s="1908"/>
      <c r="AO101" s="1908"/>
      <c r="AP101" s="1908"/>
      <c r="AQ101" s="1908"/>
      <c r="AR101" s="1908"/>
      <c r="AS101" s="1908"/>
      <c r="AT101" s="1908"/>
      <c r="AU101" s="1908"/>
      <c r="AV101" s="1908"/>
      <c r="AW101" s="1908"/>
      <c r="AX101" s="1908"/>
      <c r="AY101" s="1908"/>
      <c r="AZ101" s="1909"/>
    </row>
    <row r="102" spans="1:52">
      <c r="AM102" s="1907"/>
      <c r="AN102" s="1908"/>
      <c r="AO102" s="1908"/>
      <c r="AP102" s="1908"/>
      <c r="AQ102" s="1908"/>
      <c r="AR102" s="1908"/>
      <c r="AS102" s="1908"/>
      <c r="AT102" s="1908"/>
      <c r="AU102" s="1908"/>
      <c r="AV102" s="1908"/>
      <c r="AW102" s="1908"/>
      <c r="AX102" s="1908"/>
      <c r="AY102" s="1908"/>
      <c r="AZ102" s="1909"/>
    </row>
    <row r="103" spans="1:52">
      <c r="AM103" s="1907"/>
      <c r="AN103" s="1908"/>
      <c r="AO103" s="1908"/>
      <c r="AP103" s="1908"/>
      <c r="AQ103" s="1908"/>
      <c r="AR103" s="1908"/>
      <c r="AS103" s="1908"/>
      <c r="AT103" s="1908"/>
      <c r="AU103" s="1908"/>
      <c r="AV103" s="1908"/>
      <c r="AW103" s="1908"/>
      <c r="AX103" s="1908"/>
      <c r="AY103" s="1908"/>
      <c r="AZ103" s="1909"/>
    </row>
    <row r="104" spans="1:52">
      <c r="AM104" s="1907"/>
      <c r="AN104" s="1908"/>
      <c r="AO104" s="1908"/>
      <c r="AP104" s="1908"/>
      <c r="AQ104" s="1908"/>
      <c r="AR104" s="1908"/>
      <c r="AS104" s="1908"/>
      <c r="AT104" s="1908"/>
      <c r="AU104" s="1908"/>
      <c r="AV104" s="1908"/>
      <c r="AW104" s="1908"/>
      <c r="AX104" s="1908"/>
      <c r="AY104" s="1908"/>
      <c r="AZ104" s="1909"/>
    </row>
    <row r="105" spans="1:52">
      <c r="AM105" s="1907"/>
      <c r="AN105" s="1908"/>
      <c r="AO105" s="1908"/>
      <c r="AP105" s="1908"/>
      <c r="AQ105" s="1908"/>
      <c r="AR105" s="1908"/>
      <c r="AS105" s="1908"/>
      <c r="AT105" s="1908"/>
      <c r="AU105" s="1908"/>
      <c r="AV105" s="1908"/>
      <c r="AW105" s="1908"/>
      <c r="AX105" s="1908"/>
      <c r="AY105" s="1908"/>
      <c r="AZ105" s="1909"/>
    </row>
    <row r="106" spans="1:52">
      <c r="AM106" s="1907"/>
      <c r="AN106" s="1908"/>
      <c r="AO106" s="1908"/>
      <c r="AP106" s="1908"/>
      <c r="AQ106" s="1908"/>
      <c r="AR106" s="1908"/>
      <c r="AS106" s="1908"/>
      <c r="AT106" s="1908"/>
      <c r="AU106" s="1908"/>
      <c r="AV106" s="1908"/>
      <c r="AW106" s="1908"/>
      <c r="AX106" s="1908"/>
      <c r="AY106" s="1908"/>
      <c r="AZ106" s="1909"/>
    </row>
    <row r="107" spans="1:52" ht="13.5" thickBot="1">
      <c r="AM107" s="1910"/>
      <c r="AN107" s="1911"/>
      <c r="AO107" s="1911"/>
      <c r="AP107" s="1911"/>
      <c r="AQ107" s="1911"/>
      <c r="AR107" s="1911"/>
      <c r="AS107" s="1911"/>
      <c r="AT107" s="1911"/>
      <c r="AU107" s="1911"/>
      <c r="AV107" s="1911"/>
      <c r="AW107" s="1911"/>
      <c r="AX107" s="1911"/>
      <c r="AY107" s="1911"/>
      <c r="AZ107" s="1912"/>
    </row>
  </sheetData>
  <sheetProtection algorithmName="SHA-512" hashValue="oRuxg76mXCEO8pe5V+ACDavOxRjRXxWMQouW/Iwp7QQ98anOunhQJXi1OulO2DLw+H5VavtmxeIN77ayln6G4Q==" saltValue="rX1MmnhtLGfe5MoYZ5Tqqw==" spinCount="100000" sheet="1" objects="1" scenarios="1" selectLockedCells="1"/>
  <mergeCells count="121">
    <mergeCell ref="D14:AL21"/>
    <mergeCell ref="A14:C21"/>
    <mergeCell ref="AM14:AZ21"/>
    <mergeCell ref="A22:C24"/>
    <mergeCell ref="D22:AL24"/>
    <mergeCell ref="AM22:AZ24"/>
    <mergeCell ref="A1:AZ3"/>
    <mergeCell ref="AM5:AZ8"/>
    <mergeCell ref="A5:AL8"/>
    <mergeCell ref="A11:C13"/>
    <mergeCell ref="AM11:AZ13"/>
    <mergeCell ref="D11:AL13"/>
    <mergeCell ref="A36:C40"/>
    <mergeCell ref="D36:AL40"/>
    <mergeCell ref="AM36:AZ40"/>
    <mergeCell ref="A41:C45"/>
    <mergeCell ref="D41:AL45"/>
    <mergeCell ref="AM41:AZ45"/>
    <mergeCell ref="A25:C32"/>
    <mergeCell ref="D25:AL32"/>
    <mergeCell ref="AM25:AZ32"/>
    <mergeCell ref="A33:C35"/>
    <mergeCell ref="D33:AL35"/>
    <mergeCell ref="AM33:AZ35"/>
    <mergeCell ref="A52:C54"/>
    <mergeCell ref="D52:AL54"/>
    <mergeCell ref="AM52:AZ54"/>
    <mergeCell ref="A55:C57"/>
    <mergeCell ref="D55:AL57"/>
    <mergeCell ref="AM55:AZ57"/>
    <mergeCell ref="A46:C48"/>
    <mergeCell ref="D46:AL48"/>
    <mergeCell ref="AM46:AZ48"/>
    <mergeCell ref="A49:C51"/>
    <mergeCell ref="D49:AL51"/>
    <mergeCell ref="AM49:AZ51"/>
    <mergeCell ref="A64:C66"/>
    <mergeCell ref="D64:AL66"/>
    <mergeCell ref="AM64:AZ66"/>
    <mergeCell ref="A67:C69"/>
    <mergeCell ref="D67:AL69"/>
    <mergeCell ref="AM67:AZ69"/>
    <mergeCell ref="A58:C60"/>
    <mergeCell ref="D58:AL60"/>
    <mergeCell ref="AM58:AZ60"/>
    <mergeCell ref="A61:C63"/>
    <mergeCell ref="D61:AL63"/>
    <mergeCell ref="AM61:AZ63"/>
    <mergeCell ref="A78:C80"/>
    <mergeCell ref="D78:AL80"/>
    <mergeCell ref="AM78:AZ80"/>
    <mergeCell ref="A81:C85"/>
    <mergeCell ref="D81:AL85"/>
    <mergeCell ref="AM81:AZ85"/>
    <mergeCell ref="A70:C72"/>
    <mergeCell ref="D70:AL72"/>
    <mergeCell ref="AM70:AZ72"/>
    <mergeCell ref="A73:C77"/>
    <mergeCell ref="D73:AL77"/>
    <mergeCell ref="AM73:AZ77"/>
    <mergeCell ref="A92:C94"/>
    <mergeCell ref="D92:AL94"/>
    <mergeCell ref="AM92:AZ94"/>
    <mergeCell ref="A95:C97"/>
    <mergeCell ref="D95:AL97"/>
    <mergeCell ref="AM95:AZ97"/>
    <mergeCell ref="A86:C88"/>
    <mergeCell ref="D86:AL88"/>
    <mergeCell ref="AM86:AZ88"/>
    <mergeCell ref="A89:C91"/>
    <mergeCell ref="D89:AL91"/>
    <mergeCell ref="AM89:AZ91"/>
    <mergeCell ref="BB17:BD19"/>
    <mergeCell ref="BE17:DA19"/>
    <mergeCell ref="BB20:BD22"/>
    <mergeCell ref="BE20:DA22"/>
    <mergeCell ref="BB23:BD25"/>
    <mergeCell ref="BE23:DA25"/>
    <mergeCell ref="AM99:AZ107"/>
    <mergeCell ref="BB5:DA8"/>
    <mergeCell ref="BB11:BD13"/>
    <mergeCell ref="BE11:DA13"/>
    <mergeCell ref="BB14:BD16"/>
    <mergeCell ref="BE14:DA16"/>
    <mergeCell ref="BB35:BD37"/>
    <mergeCell ref="BE35:DA37"/>
    <mergeCell ref="BB38:BD40"/>
    <mergeCell ref="BE38:DA40"/>
    <mergeCell ref="BB41:BD43"/>
    <mergeCell ref="BE41:DA43"/>
    <mergeCell ref="BB26:BD28"/>
    <mergeCell ref="BE26:DA28"/>
    <mergeCell ref="BB29:BD31"/>
    <mergeCell ref="BE29:DA31"/>
    <mergeCell ref="BB32:BD34"/>
    <mergeCell ref="BE32:DA34"/>
    <mergeCell ref="BB53:BD55"/>
    <mergeCell ref="BE53:DA55"/>
    <mergeCell ref="BB56:BD58"/>
    <mergeCell ref="BE56:DA58"/>
    <mergeCell ref="BB59:BD61"/>
    <mergeCell ref="BE59:DA61"/>
    <mergeCell ref="BB44:BD46"/>
    <mergeCell ref="BE44:DA46"/>
    <mergeCell ref="BB47:BD49"/>
    <mergeCell ref="BE47:DA49"/>
    <mergeCell ref="BB50:BD52"/>
    <mergeCell ref="BE50:DA52"/>
    <mergeCell ref="BB83:BK87"/>
    <mergeCell ref="BL83:DA87"/>
    <mergeCell ref="BB88:BK92"/>
    <mergeCell ref="BL88:DA92"/>
    <mergeCell ref="BB73:BK77"/>
    <mergeCell ref="BL73:DA77"/>
    <mergeCell ref="BB78:BK82"/>
    <mergeCell ref="BL78:DA82"/>
    <mergeCell ref="BB62:BD64"/>
    <mergeCell ref="BE62:DA64"/>
    <mergeCell ref="BB67:DA69"/>
    <mergeCell ref="BB70:BK72"/>
    <mergeCell ref="BL70:DA72"/>
  </mergeCells>
  <pageMargins left="0.25" right="0.25" top="0.75" bottom="0.75" header="0.3" footer="0.3"/>
  <pageSetup paperSize="9" scale="34" fitToWidth="0" orientation="landscape" r:id="rId1"/>
  <headerFooter>
    <oddHeader>&amp;R&amp;G</oddHeader>
  </headerFooter>
  <drawing r:id="rId2"/>
  <legacyDrawingHF r:id="rId3"/>
  <extLst>
    <ext xmlns:mx="http://schemas.microsoft.com/office/mac/excel/2008/main" uri="{64002731-A6B0-56B0-2670-7721B7C09600}">
      <mx:PLV Mode="0" OnePage="0" WScale="0"/>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0">
    <pageSetUpPr fitToPage="1"/>
  </sheetPr>
  <dimension ref="A2:P500"/>
  <sheetViews>
    <sheetView topLeftCell="A310" workbookViewId="0">
      <selection activeCell="B349" sqref="B349"/>
    </sheetView>
  </sheetViews>
  <sheetFormatPr baseColWidth="10" defaultColWidth="9.140625" defaultRowHeight="12.75"/>
  <cols>
    <col min="1" max="2" width="47.7109375" bestFit="1" customWidth="1"/>
    <col min="3" max="3" width="47.7109375" customWidth="1"/>
  </cols>
  <sheetData>
    <row r="2" spans="1:16">
      <c r="A2" s="20" t="s">
        <v>150</v>
      </c>
      <c r="B2" s="10" t="s">
        <v>294</v>
      </c>
      <c r="C2" s="10" t="s">
        <v>293</v>
      </c>
      <c r="D2" s="10" t="s">
        <v>158</v>
      </c>
      <c r="E2" s="10" t="s">
        <v>159</v>
      </c>
      <c r="F2" s="10" t="s">
        <v>160</v>
      </c>
      <c r="G2" s="10" t="s">
        <v>161</v>
      </c>
      <c r="H2" s="10" t="s">
        <v>162</v>
      </c>
      <c r="I2" s="10" t="s">
        <v>163</v>
      </c>
      <c r="J2" s="10" t="s">
        <v>164</v>
      </c>
      <c r="K2" s="10" t="s">
        <v>165</v>
      </c>
      <c r="L2" s="10" t="s">
        <v>166</v>
      </c>
      <c r="M2" s="10" t="s">
        <v>167</v>
      </c>
      <c r="N2" s="10" t="s">
        <v>168</v>
      </c>
      <c r="O2" s="10" t="s">
        <v>168</v>
      </c>
      <c r="P2" s="21" t="s">
        <v>168</v>
      </c>
    </row>
    <row r="3" spans="1:16" ht="25.5">
      <c r="A3" s="86" t="s">
        <v>557</v>
      </c>
      <c r="B3" s="86" t="s">
        <v>554</v>
      </c>
      <c r="C3" s="86" t="s">
        <v>641</v>
      </c>
      <c r="D3" s="9"/>
      <c r="E3" s="9"/>
      <c r="F3" s="9"/>
      <c r="G3" s="9"/>
      <c r="H3" s="9"/>
      <c r="I3" s="9"/>
      <c r="J3" s="9"/>
      <c r="K3" s="9"/>
      <c r="L3" s="9"/>
      <c r="M3" s="9"/>
      <c r="N3" s="9"/>
      <c r="O3" s="9"/>
      <c r="P3" s="9"/>
    </row>
    <row r="4" spans="1:16" ht="372" customHeight="1">
      <c r="A4" s="87" t="s">
        <v>556</v>
      </c>
      <c r="B4" s="111" t="s">
        <v>1166</v>
      </c>
      <c r="C4" s="111" t="s">
        <v>1167</v>
      </c>
      <c r="D4" s="9"/>
      <c r="E4" s="9"/>
      <c r="F4" s="9"/>
      <c r="G4" s="9"/>
      <c r="H4" s="9"/>
      <c r="I4" s="9"/>
      <c r="J4" s="9"/>
      <c r="K4" s="9"/>
      <c r="L4" s="9"/>
      <c r="M4" s="9"/>
      <c r="N4" s="9"/>
      <c r="O4" s="9"/>
      <c r="P4" s="9"/>
    </row>
    <row r="5" spans="1:16">
      <c r="A5" s="74" t="s">
        <v>398</v>
      </c>
      <c r="B5" s="74" t="s">
        <v>399</v>
      </c>
      <c r="C5" s="74" t="s">
        <v>397</v>
      </c>
      <c r="D5" s="9"/>
      <c r="E5" s="9"/>
      <c r="F5" s="9"/>
      <c r="G5" s="9"/>
      <c r="H5" s="9"/>
      <c r="I5" s="9"/>
      <c r="J5" s="9"/>
      <c r="K5" s="9"/>
      <c r="L5" s="9"/>
      <c r="M5" s="9"/>
      <c r="N5" s="9"/>
      <c r="O5" s="9"/>
      <c r="P5" s="9"/>
    </row>
    <row r="6" spans="1:16">
      <c r="A6" t="s">
        <v>298</v>
      </c>
      <c r="B6" t="s">
        <v>75</v>
      </c>
      <c r="C6" t="s">
        <v>239</v>
      </c>
    </row>
    <row r="7" spans="1:16">
      <c r="A7" s="8" t="s">
        <v>299</v>
      </c>
      <c r="B7" s="9" t="s">
        <v>1</v>
      </c>
      <c r="C7" t="s">
        <v>244</v>
      </c>
    </row>
    <row r="8" spans="1:16">
      <c r="A8" s="9" t="s">
        <v>301</v>
      </c>
      <c r="B8" s="9" t="s">
        <v>245</v>
      </c>
      <c r="C8" t="s">
        <v>246</v>
      </c>
    </row>
    <row r="9" spans="1:16">
      <c r="A9" s="9" t="s">
        <v>302</v>
      </c>
      <c r="B9" s="9" t="s">
        <v>5</v>
      </c>
      <c r="C9" t="s">
        <v>254</v>
      </c>
    </row>
    <row r="10" spans="1:16">
      <c r="A10" t="s">
        <v>303</v>
      </c>
      <c r="B10" t="s">
        <v>6</v>
      </c>
      <c r="C10" t="s">
        <v>423</v>
      </c>
    </row>
    <row r="11" spans="1:16">
      <c r="A11" t="s">
        <v>304</v>
      </c>
      <c r="B11" t="s">
        <v>7</v>
      </c>
      <c r="C11" t="s">
        <v>424</v>
      </c>
    </row>
    <row r="12" spans="1:16">
      <c r="A12" t="s">
        <v>312</v>
      </c>
      <c r="B12" t="s">
        <v>8</v>
      </c>
      <c r="C12" t="s">
        <v>425</v>
      </c>
    </row>
    <row r="13" spans="1:16">
      <c r="A13" t="s">
        <v>305</v>
      </c>
      <c r="B13" t="s">
        <v>468</v>
      </c>
      <c r="C13" t="s">
        <v>426</v>
      </c>
    </row>
    <row r="14" spans="1:16">
      <c r="A14" t="s">
        <v>306</v>
      </c>
      <c r="B14" t="s">
        <v>9</v>
      </c>
      <c r="C14" t="s">
        <v>427</v>
      </c>
    </row>
    <row r="15" spans="1:16">
      <c r="A15" t="s">
        <v>307</v>
      </c>
      <c r="B15" t="s">
        <v>64</v>
      </c>
      <c r="C15" t="s">
        <v>255</v>
      </c>
    </row>
    <row r="16" spans="1:16">
      <c r="A16" t="s">
        <v>308</v>
      </c>
      <c r="B16" t="s">
        <v>65</v>
      </c>
      <c r="C16" t="s">
        <v>428</v>
      </c>
    </row>
    <row r="17" spans="1:13">
      <c r="A17" t="s">
        <v>309</v>
      </c>
      <c r="B17" t="s">
        <v>66</v>
      </c>
      <c r="C17" t="s">
        <v>1003</v>
      </c>
    </row>
    <row r="18" spans="1:13">
      <c r="A18" t="s">
        <v>310</v>
      </c>
      <c r="B18" t="s">
        <v>74</v>
      </c>
      <c r="C18" t="s">
        <v>429</v>
      </c>
    </row>
    <row r="19" spans="1:13">
      <c r="A19" t="s">
        <v>469</v>
      </c>
      <c r="B19" t="s">
        <v>470</v>
      </c>
      <c r="C19" t="s">
        <v>471</v>
      </c>
    </row>
    <row r="20" spans="1:13">
      <c r="A20" t="s">
        <v>311</v>
      </c>
      <c r="B20" t="s">
        <v>2</v>
      </c>
      <c r="C20" t="s">
        <v>430</v>
      </c>
    </row>
    <row r="21" spans="1:13">
      <c r="A21" t="s">
        <v>300</v>
      </c>
      <c r="B21" t="s">
        <v>3</v>
      </c>
      <c r="C21" t="s">
        <v>240</v>
      </c>
    </row>
    <row r="22" spans="1:13">
      <c r="A22" s="16" t="s">
        <v>313</v>
      </c>
      <c r="B22" s="16" t="s">
        <v>10</v>
      </c>
      <c r="C22" s="16" t="s">
        <v>248</v>
      </c>
    </row>
    <row r="23" spans="1:13">
      <c r="A23" s="16" t="s">
        <v>314</v>
      </c>
      <c r="B23" s="16" t="s">
        <v>11</v>
      </c>
      <c r="C23" s="16" t="s">
        <v>247</v>
      </c>
    </row>
    <row r="24" spans="1:13">
      <c r="A24" s="16" t="s">
        <v>315</v>
      </c>
      <c r="B24" s="16" t="s">
        <v>12</v>
      </c>
      <c r="C24" s="16" t="s">
        <v>431</v>
      </c>
    </row>
    <row r="25" spans="1:13">
      <c r="A25" s="16" t="s">
        <v>316</v>
      </c>
      <c r="B25" s="16" t="s">
        <v>13</v>
      </c>
      <c r="C25" s="16" t="s">
        <v>432</v>
      </c>
    </row>
    <row r="26" spans="1:13">
      <c r="A26" s="16" t="s">
        <v>317</v>
      </c>
      <c r="B26" s="16" t="s">
        <v>14</v>
      </c>
      <c r="C26" s="16" t="s">
        <v>433</v>
      </c>
    </row>
    <row r="27" spans="1:13">
      <c r="A27" s="16" t="s">
        <v>318</v>
      </c>
      <c r="B27" s="16" t="s">
        <v>15</v>
      </c>
      <c r="C27" s="16" t="s">
        <v>434</v>
      </c>
    </row>
    <row r="28" spans="1:13">
      <c r="A28" s="16" t="s">
        <v>319</v>
      </c>
      <c r="B28" s="16" t="s">
        <v>16</v>
      </c>
      <c r="C28" s="16" t="s">
        <v>435</v>
      </c>
    </row>
    <row r="29" spans="1:13">
      <c r="A29" s="16" t="s">
        <v>320</v>
      </c>
      <c r="B29" s="16" t="s">
        <v>17</v>
      </c>
      <c r="C29" s="16" t="s">
        <v>436</v>
      </c>
    </row>
    <row r="30" spans="1:13" ht="12.75" customHeight="1">
      <c r="A30" s="16" t="s">
        <v>321</v>
      </c>
      <c r="B30" s="16" t="s">
        <v>18</v>
      </c>
      <c r="C30" s="16" t="s">
        <v>249</v>
      </c>
      <c r="D30" s="11"/>
      <c r="E30" s="11"/>
      <c r="F30" s="11"/>
      <c r="G30" s="11"/>
      <c r="H30" s="11"/>
      <c r="I30" s="11"/>
      <c r="J30" s="11"/>
      <c r="K30" s="11"/>
      <c r="L30" s="11"/>
      <c r="M30" s="11"/>
    </row>
    <row r="31" spans="1:13" ht="12.75" customHeight="1">
      <c r="A31" s="16" t="s">
        <v>322</v>
      </c>
      <c r="B31" s="16" t="s">
        <v>642</v>
      </c>
      <c r="C31" s="16" t="s">
        <v>250</v>
      </c>
      <c r="D31" s="11"/>
      <c r="E31" s="11"/>
      <c r="F31" s="11"/>
      <c r="G31" s="11"/>
      <c r="H31" s="11"/>
      <c r="I31" s="11"/>
      <c r="J31" s="11"/>
      <c r="K31" s="11"/>
      <c r="L31" s="11"/>
      <c r="M31" s="11"/>
    </row>
    <row r="32" spans="1:13" ht="12.75" customHeight="1">
      <c r="A32" s="16" t="s">
        <v>323</v>
      </c>
      <c r="B32" s="16" t="s">
        <v>19</v>
      </c>
      <c r="C32" s="16" t="s">
        <v>251</v>
      </c>
      <c r="D32" s="11"/>
      <c r="E32" s="11"/>
      <c r="F32" s="11"/>
      <c r="G32" s="11"/>
      <c r="H32" s="11"/>
      <c r="I32" s="11"/>
      <c r="J32" s="11"/>
      <c r="K32" s="11"/>
      <c r="L32" s="11"/>
      <c r="M32" s="11"/>
    </row>
    <row r="33" spans="1:13" ht="12.75" customHeight="1">
      <c r="A33" s="16" t="s">
        <v>324</v>
      </c>
      <c r="B33" s="16" t="s">
        <v>20</v>
      </c>
      <c r="C33" s="16" t="s">
        <v>252</v>
      </c>
      <c r="D33" s="11"/>
      <c r="E33" s="11"/>
      <c r="F33" s="11"/>
      <c r="G33" s="11"/>
      <c r="H33" s="11"/>
      <c r="I33" s="11"/>
      <c r="J33" s="11"/>
      <c r="K33" s="11"/>
      <c r="L33" s="11"/>
      <c r="M33" s="11"/>
    </row>
    <row r="34" spans="1:13" ht="12.75" customHeight="1">
      <c r="A34" s="16" t="s">
        <v>325</v>
      </c>
      <c r="B34" s="16" t="s">
        <v>21</v>
      </c>
      <c r="C34" s="16" t="s">
        <v>241</v>
      </c>
      <c r="D34" s="11"/>
      <c r="E34" s="11"/>
      <c r="F34" s="11"/>
      <c r="G34" s="11"/>
      <c r="H34" s="11"/>
      <c r="I34" s="11"/>
      <c r="J34" s="11"/>
      <c r="K34" s="11"/>
      <c r="L34" s="11"/>
      <c r="M34" s="11"/>
    </row>
    <row r="35" spans="1:13" ht="12.75" customHeight="1">
      <c r="A35" s="16" t="s">
        <v>326</v>
      </c>
      <c r="B35" s="16" t="s">
        <v>22</v>
      </c>
      <c r="C35" s="13" t="s">
        <v>437</v>
      </c>
      <c r="D35" s="11"/>
      <c r="E35" s="11"/>
      <c r="F35" s="11"/>
      <c r="G35" s="11"/>
      <c r="H35" s="11"/>
      <c r="I35" s="11"/>
      <c r="J35" s="11"/>
      <c r="K35" s="11"/>
      <c r="L35" s="11"/>
      <c r="M35" s="11"/>
    </row>
    <row r="36" spans="1:13" ht="12.75" customHeight="1">
      <c r="A36" s="16" t="s">
        <v>327</v>
      </c>
      <c r="B36" s="16" t="s">
        <v>23</v>
      </c>
      <c r="C36" s="13" t="s">
        <v>256</v>
      </c>
      <c r="D36" s="11"/>
      <c r="E36" s="11"/>
      <c r="F36" s="11"/>
      <c r="G36" s="11"/>
      <c r="H36" s="11"/>
      <c r="I36" s="11"/>
      <c r="J36" s="11"/>
      <c r="K36" s="11"/>
      <c r="L36" s="11"/>
      <c r="M36" s="11"/>
    </row>
    <row r="37" spans="1:13" ht="12.75" customHeight="1">
      <c r="A37" s="16" t="s">
        <v>328</v>
      </c>
      <c r="B37" s="16" t="s">
        <v>24</v>
      </c>
      <c r="C37" s="13" t="s">
        <v>438</v>
      </c>
      <c r="D37" s="11"/>
      <c r="E37" s="11"/>
      <c r="F37" s="11"/>
      <c r="G37" s="11"/>
      <c r="H37" s="11"/>
      <c r="I37" s="11"/>
      <c r="J37" s="11"/>
      <c r="K37" s="11"/>
      <c r="L37" s="11"/>
      <c r="M37" s="11"/>
    </row>
    <row r="38" spans="1:13" ht="12.75" customHeight="1">
      <c r="A38" s="16" t="s">
        <v>329</v>
      </c>
      <c r="B38" s="16" t="s">
        <v>25</v>
      </c>
      <c r="C38" s="13" t="s">
        <v>253</v>
      </c>
      <c r="D38" s="11"/>
      <c r="E38" s="11"/>
      <c r="F38" s="11"/>
      <c r="G38" s="11"/>
      <c r="H38" s="11"/>
      <c r="I38" s="11"/>
      <c r="J38" s="11"/>
      <c r="K38" s="11"/>
      <c r="L38" s="11"/>
      <c r="M38" s="11"/>
    </row>
    <row r="39" spans="1:13" ht="12.75" customHeight="1">
      <c r="A39" s="16" t="s">
        <v>330</v>
      </c>
      <c r="B39" s="16" t="s">
        <v>26</v>
      </c>
      <c r="C39" s="16" t="s">
        <v>242</v>
      </c>
      <c r="D39" s="11"/>
      <c r="E39" s="11"/>
      <c r="F39" s="11"/>
      <c r="G39" s="11"/>
      <c r="H39" s="11"/>
      <c r="I39" s="11"/>
      <c r="J39" s="11"/>
      <c r="K39" s="11"/>
      <c r="L39" s="11"/>
      <c r="M39" s="11"/>
    </row>
    <row r="40" spans="1:13" ht="12.75" customHeight="1">
      <c r="A40" s="16" t="s">
        <v>331</v>
      </c>
      <c r="B40" s="16" t="s">
        <v>27</v>
      </c>
      <c r="C40" s="16" t="s">
        <v>257</v>
      </c>
      <c r="D40" s="11"/>
      <c r="E40" s="11"/>
      <c r="F40" s="11"/>
      <c r="G40" s="11"/>
      <c r="H40" s="11"/>
      <c r="I40" s="11"/>
      <c r="J40" s="11"/>
      <c r="K40" s="11"/>
      <c r="L40" s="11"/>
      <c r="M40" s="11"/>
    </row>
    <row r="41" spans="1:13" ht="12.75" customHeight="1">
      <c r="A41" s="16" t="s">
        <v>332</v>
      </c>
      <c r="B41" s="16" t="s">
        <v>28</v>
      </c>
      <c r="C41" s="16" t="s">
        <v>258</v>
      </c>
      <c r="D41" s="11"/>
      <c r="E41" s="11"/>
      <c r="F41" s="11"/>
      <c r="G41" s="11"/>
      <c r="H41" s="11"/>
      <c r="I41" s="11"/>
      <c r="J41" s="11"/>
      <c r="K41" s="11"/>
      <c r="L41" s="11"/>
      <c r="M41" s="11"/>
    </row>
    <row r="42" spans="1:13" ht="12.75" customHeight="1">
      <c r="A42" s="16" t="s">
        <v>333</v>
      </c>
      <c r="B42" s="16" t="s">
        <v>29</v>
      </c>
      <c r="C42" s="16" t="s">
        <v>259</v>
      </c>
      <c r="D42" s="11"/>
      <c r="E42" s="11"/>
      <c r="F42" s="11"/>
      <c r="G42" s="11"/>
      <c r="H42" s="11"/>
      <c r="I42" s="11"/>
      <c r="J42" s="11"/>
      <c r="K42" s="11"/>
      <c r="L42" s="11"/>
      <c r="M42" s="11"/>
    </row>
    <row r="43" spans="1:13" ht="12.75" customHeight="1">
      <c r="A43" s="16" t="s">
        <v>334</v>
      </c>
      <c r="B43" s="16" t="s">
        <v>30</v>
      </c>
      <c r="C43" s="16" t="s">
        <v>439</v>
      </c>
      <c r="D43" s="11"/>
      <c r="E43" s="11"/>
      <c r="F43" s="11"/>
      <c r="G43" s="11"/>
      <c r="H43" s="11"/>
      <c r="I43" s="11"/>
      <c r="J43" s="11"/>
      <c r="K43" s="11"/>
      <c r="L43" s="11"/>
      <c r="M43" s="11"/>
    </row>
    <row r="44" spans="1:13" ht="12.75" customHeight="1">
      <c r="A44" s="16" t="s">
        <v>335</v>
      </c>
      <c r="B44" s="16" t="s">
        <v>31</v>
      </c>
      <c r="C44" s="16" t="s">
        <v>643</v>
      </c>
      <c r="D44" s="11"/>
      <c r="E44" s="11"/>
      <c r="F44" s="11"/>
      <c r="G44" s="11"/>
      <c r="H44" s="11"/>
      <c r="I44" s="11"/>
      <c r="J44" s="11"/>
      <c r="K44" s="11"/>
      <c r="L44" s="11"/>
      <c r="M44" s="11"/>
    </row>
    <row r="45" spans="1:13" ht="12.75" customHeight="1">
      <c r="A45" s="16" t="s">
        <v>336</v>
      </c>
      <c r="B45" s="16" t="s">
        <v>32</v>
      </c>
      <c r="C45" s="16" t="s">
        <v>440</v>
      </c>
      <c r="D45" s="11"/>
      <c r="E45" s="11"/>
      <c r="F45" s="11"/>
      <c r="G45" s="11"/>
      <c r="H45" s="11"/>
      <c r="I45" s="11"/>
      <c r="J45" s="11"/>
      <c r="K45" s="11"/>
      <c r="L45" s="11"/>
      <c r="M45" s="11"/>
    </row>
    <row r="46" spans="1:13" ht="12.75" customHeight="1">
      <c r="A46" s="16" t="s">
        <v>337</v>
      </c>
      <c r="B46" s="16" t="s">
        <v>33</v>
      </c>
      <c r="C46" s="16" t="s">
        <v>346</v>
      </c>
      <c r="D46" s="11"/>
      <c r="E46" s="11"/>
      <c r="F46" s="11"/>
      <c r="G46" s="11"/>
      <c r="H46" s="11"/>
      <c r="I46" s="11"/>
      <c r="J46" s="11"/>
      <c r="K46" s="11"/>
      <c r="L46" s="11"/>
      <c r="M46" s="11"/>
    </row>
    <row r="47" spans="1:13" ht="12.75" customHeight="1">
      <c r="A47" s="16" t="s">
        <v>338</v>
      </c>
      <c r="B47" s="16" t="s">
        <v>34</v>
      </c>
      <c r="C47" s="16" t="s">
        <v>441</v>
      </c>
      <c r="D47" s="11"/>
      <c r="E47" s="11"/>
      <c r="F47" s="11"/>
      <c r="G47" s="11"/>
      <c r="H47" s="11"/>
      <c r="I47" s="11"/>
      <c r="J47" s="11"/>
      <c r="K47" s="11"/>
      <c r="L47" s="11"/>
      <c r="M47" s="11"/>
    </row>
    <row r="48" spans="1:13" ht="12.75" customHeight="1">
      <c r="A48" s="16" t="s">
        <v>339</v>
      </c>
      <c r="B48" s="16" t="s">
        <v>35</v>
      </c>
      <c r="C48" s="16" t="s">
        <v>347</v>
      </c>
      <c r="D48" s="11"/>
      <c r="E48" s="11"/>
      <c r="F48" s="11"/>
      <c r="G48" s="11"/>
      <c r="H48" s="11"/>
      <c r="I48" s="11"/>
      <c r="J48" s="11"/>
      <c r="K48" s="11"/>
      <c r="L48" s="11"/>
      <c r="M48" s="11"/>
    </row>
    <row r="49" spans="1:13" ht="12.75" customHeight="1">
      <c r="A49" s="16" t="s">
        <v>340</v>
      </c>
      <c r="B49" s="16" t="s">
        <v>36</v>
      </c>
      <c r="C49" s="16" t="s">
        <v>345</v>
      </c>
      <c r="D49" s="11"/>
      <c r="E49" s="11"/>
      <c r="F49" s="11"/>
      <c r="G49" s="11"/>
      <c r="H49" s="11"/>
      <c r="I49" s="11"/>
      <c r="J49" s="11"/>
      <c r="K49" s="11"/>
      <c r="L49" s="11"/>
      <c r="M49" s="11"/>
    </row>
    <row r="50" spans="1:13" ht="12.75" customHeight="1">
      <c r="A50" s="16" t="s">
        <v>341</v>
      </c>
      <c r="B50" s="16" t="s">
        <v>465</v>
      </c>
      <c r="C50" s="16" t="s">
        <v>443</v>
      </c>
      <c r="D50" s="66"/>
      <c r="E50" s="11"/>
      <c r="F50" s="11"/>
      <c r="G50" s="11"/>
      <c r="H50" s="11"/>
      <c r="I50" s="11"/>
      <c r="J50" s="11"/>
      <c r="K50" s="11"/>
      <c r="L50" s="11"/>
      <c r="M50" s="11"/>
    </row>
    <row r="51" spans="1:13" ht="12.75" customHeight="1">
      <c r="A51" s="16" t="s">
        <v>342</v>
      </c>
      <c r="B51" s="16" t="s">
        <v>38</v>
      </c>
      <c r="C51" s="16" t="s">
        <v>442</v>
      </c>
      <c r="D51" s="11"/>
      <c r="E51" s="11"/>
      <c r="F51" s="11"/>
      <c r="G51" s="11"/>
      <c r="H51" s="11"/>
      <c r="I51" s="11"/>
      <c r="J51" s="11"/>
      <c r="K51" s="11"/>
      <c r="L51" s="11"/>
      <c r="M51" s="11"/>
    </row>
    <row r="52" spans="1:13" ht="12.75" customHeight="1">
      <c r="A52" s="16" t="s">
        <v>343</v>
      </c>
      <c r="B52" s="16" t="s">
        <v>39</v>
      </c>
      <c r="C52" s="16" t="s">
        <v>558</v>
      </c>
      <c r="D52" s="11"/>
      <c r="E52" s="11"/>
      <c r="F52" s="11"/>
      <c r="G52" s="11"/>
      <c r="H52" s="11"/>
      <c r="I52" s="11"/>
      <c r="J52" s="11"/>
      <c r="K52" s="11"/>
      <c r="L52" s="11"/>
      <c r="M52" s="11"/>
    </row>
    <row r="53" spans="1:13" ht="12.75" customHeight="1">
      <c r="A53" s="16" t="s">
        <v>344</v>
      </c>
      <c r="B53" s="16" t="s">
        <v>1001</v>
      </c>
      <c r="C53" s="16" t="s">
        <v>1002</v>
      </c>
      <c r="D53" s="11"/>
      <c r="E53" s="11"/>
      <c r="F53" s="11"/>
      <c r="G53" s="11"/>
      <c r="H53" s="11"/>
      <c r="I53" s="11"/>
      <c r="J53" s="11"/>
      <c r="K53" s="11"/>
      <c r="L53" s="11"/>
      <c r="M53" s="11"/>
    </row>
    <row r="54" spans="1:13">
      <c r="A54" t="s">
        <v>350</v>
      </c>
      <c r="B54" t="s">
        <v>63</v>
      </c>
      <c r="C54" s="16" t="s">
        <v>444</v>
      </c>
    </row>
    <row r="55" spans="1:13">
      <c r="A55" t="s">
        <v>351</v>
      </c>
      <c r="B55" t="s">
        <v>651</v>
      </c>
      <c r="C55" s="16" t="s">
        <v>486</v>
      </c>
    </row>
    <row r="56" spans="1:13">
      <c r="A56" s="16" t="s">
        <v>352</v>
      </c>
      <c r="B56" s="16" t="s">
        <v>40</v>
      </c>
      <c r="C56" s="16" t="s">
        <v>445</v>
      </c>
    </row>
    <row r="57" spans="1:13">
      <c r="A57" s="16" t="s">
        <v>353</v>
      </c>
      <c r="B57" s="16" t="s">
        <v>41</v>
      </c>
      <c r="C57" s="16" t="s">
        <v>260</v>
      </c>
    </row>
    <row r="58" spans="1:13">
      <c r="A58" t="s">
        <v>354</v>
      </c>
      <c r="B58" t="s">
        <v>42</v>
      </c>
      <c r="C58" s="16" t="s">
        <v>446</v>
      </c>
    </row>
    <row r="59" spans="1:13">
      <c r="A59" t="s">
        <v>355</v>
      </c>
      <c r="B59" t="s">
        <v>60</v>
      </c>
      <c r="C59" s="16" t="s">
        <v>261</v>
      </c>
    </row>
    <row r="60" spans="1:13">
      <c r="A60" t="s">
        <v>394</v>
      </c>
      <c r="B60" t="s">
        <v>70</v>
      </c>
      <c r="C60" s="16" t="s">
        <v>395</v>
      </c>
    </row>
    <row r="61" spans="1:13">
      <c r="A61" t="s">
        <v>356</v>
      </c>
      <c r="B61" t="s">
        <v>59</v>
      </c>
      <c r="C61" s="16" t="s">
        <v>264</v>
      </c>
    </row>
    <row r="62" spans="1:13">
      <c r="A62" t="s">
        <v>357</v>
      </c>
      <c r="B62" t="s">
        <v>58</v>
      </c>
      <c r="C62" s="16" t="s">
        <v>262</v>
      </c>
    </row>
    <row r="63" spans="1:13">
      <c r="A63" t="s">
        <v>358</v>
      </c>
      <c r="B63" t="s">
        <v>57</v>
      </c>
      <c r="C63" s="16" t="s">
        <v>263</v>
      </c>
    </row>
    <row r="64" spans="1:13">
      <c r="A64" t="s">
        <v>359</v>
      </c>
      <c r="B64" t="s">
        <v>54</v>
      </c>
      <c r="C64" s="16" t="s">
        <v>265</v>
      </c>
    </row>
    <row r="65" spans="1:3">
      <c r="A65" t="s">
        <v>360</v>
      </c>
      <c r="B65" t="s">
        <v>55</v>
      </c>
      <c r="C65" s="16" t="s">
        <v>266</v>
      </c>
    </row>
    <row r="66" spans="1:3">
      <c r="A66" t="s">
        <v>363</v>
      </c>
      <c r="B66" t="s">
        <v>546</v>
      </c>
      <c r="C66" s="16" t="s">
        <v>547</v>
      </c>
    </row>
    <row r="67" spans="1:3">
      <c r="A67" t="s">
        <v>450</v>
      </c>
      <c r="B67" t="s">
        <v>645</v>
      </c>
      <c r="C67" s="16" t="s">
        <v>548</v>
      </c>
    </row>
    <row r="68" spans="1:3">
      <c r="A68" t="s">
        <v>451</v>
      </c>
      <c r="B68" t="s">
        <v>646</v>
      </c>
      <c r="C68" s="16" t="s">
        <v>452</v>
      </c>
    </row>
    <row r="69" spans="1:3">
      <c r="A69" t="s">
        <v>364</v>
      </c>
      <c r="B69" t="s">
        <v>56</v>
      </c>
      <c r="C69" s="16" t="s">
        <v>453</v>
      </c>
    </row>
    <row r="70" spans="1:3" ht="38.25">
      <c r="A70" t="s">
        <v>365</v>
      </c>
      <c r="B70" s="17" t="s">
        <v>466</v>
      </c>
      <c r="C70" s="65" t="s">
        <v>652</v>
      </c>
    </row>
    <row r="71" spans="1:3">
      <c r="A71" t="s">
        <v>367</v>
      </c>
      <c r="B71" t="s">
        <v>43</v>
      </c>
      <c r="C71" s="16" t="s">
        <v>43</v>
      </c>
    </row>
    <row r="72" spans="1:3">
      <c r="A72" s="9" t="s">
        <v>366</v>
      </c>
      <c r="B72" s="9" t="s">
        <v>61</v>
      </c>
      <c r="C72" s="16" t="s">
        <v>361</v>
      </c>
    </row>
    <row r="73" spans="1:3">
      <c r="A73" s="9" t="s">
        <v>368</v>
      </c>
      <c r="B73" s="9" t="s">
        <v>62</v>
      </c>
      <c r="C73" s="16" t="s">
        <v>650</v>
      </c>
    </row>
    <row r="74" spans="1:3">
      <c r="A74" t="s">
        <v>369</v>
      </c>
      <c r="B74" t="s">
        <v>44</v>
      </c>
      <c r="C74" s="16" t="s">
        <v>370</v>
      </c>
    </row>
    <row r="75" spans="1:3">
      <c r="A75" t="s">
        <v>371</v>
      </c>
      <c r="B75" t="s">
        <v>644</v>
      </c>
      <c r="C75" t="s">
        <v>644</v>
      </c>
    </row>
    <row r="76" spans="1:3">
      <c r="A76" t="s">
        <v>372</v>
      </c>
      <c r="B76" t="s">
        <v>45</v>
      </c>
      <c r="C76" s="16" t="s">
        <v>267</v>
      </c>
    </row>
    <row r="77" spans="1:3">
      <c r="A77" t="s">
        <v>373</v>
      </c>
      <c r="B77" t="s">
        <v>53</v>
      </c>
      <c r="C77" s="16" t="s">
        <v>268</v>
      </c>
    </row>
    <row r="78" spans="1:3">
      <c r="A78" t="s">
        <v>374</v>
      </c>
      <c r="B78" t="s">
        <v>73</v>
      </c>
      <c r="C78" s="16" t="s">
        <v>269</v>
      </c>
    </row>
    <row r="79" spans="1:3" ht="102">
      <c r="A79" t="s">
        <v>467</v>
      </c>
      <c r="B79" s="17" t="s">
        <v>648</v>
      </c>
      <c r="C79" s="23" t="s">
        <v>647</v>
      </c>
    </row>
    <row r="80" spans="1:3">
      <c r="A80" t="s">
        <v>375</v>
      </c>
      <c r="B80" t="s">
        <v>477</v>
      </c>
      <c r="C80" s="16" t="s">
        <v>449</v>
      </c>
    </row>
    <row r="81" spans="1:3">
      <c r="A81" t="s">
        <v>349</v>
      </c>
      <c r="B81" t="s">
        <v>85</v>
      </c>
      <c r="C81" s="16" t="s">
        <v>348</v>
      </c>
    </row>
    <row r="82" spans="1:3">
      <c r="A82" t="s">
        <v>376</v>
      </c>
      <c r="B82" t="s">
        <v>49</v>
      </c>
      <c r="C82" s="16" t="s">
        <v>270</v>
      </c>
    </row>
    <row r="83" spans="1:3">
      <c r="A83" s="17" t="s">
        <v>377</v>
      </c>
      <c r="B83" s="17" t="s">
        <v>151</v>
      </c>
      <c r="C83" s="16" t="s">
        <v>271</v>
      </c>
    </row>
    <row r="84" spans="1:3">
      <c r="A84" t="s">
        <v>378</v>
      </c>
      <c r="B84" t="s">
        <v>152</v>
      </c>
      <c r="C84" s="16" t="s">
        <v>272</v>
      </c>
    </row>
    <row r="85" spans="1:3">
      <c r="A85" t="s">
        <v>380</v>
      </c>
      <c r="B85" t="s">
        <v>46</v>
      </c>
      <c r="C85" s="16" t="s">
        <v>243</v>
      </c>
    </row>
    <row r="86" spans="1:3">
      <c r="A86" t="s">
        <v>379</v>
      </c>
      <c r="B86" t="s">
        <v>47</v>
      </c>
      <c r="C86" s="16" t="s">
        <v>1157</v>
      </c>
    </row>
    <row r="87" spans="1:3">
      <c r="A87" t="s">
        <v>381</v>
      </c>
      <c r="B87" t="s">
        <v>48</v>
      </c>
      <c r="C87" s="16" t="s">
        <v>447</v>
      </c>
    </row>
    <row r="88" spans="1:3">
      <c r="A88" t="s">
        <v>382</v>
      </c>
      <c r="B88" t="s">
        <v>50</v>
      </c>
      <c r="C88" s="16" t="s">
        <v>273</v>
      </c>
    </row>
    <row r="89" spans="1:3">
      <c r="A89" t="s">
        <v>383</v>
      </c>
      <c r="B89" t="s">
        <v>51</v>
      </c>
      <c r="C89" s="16" t="s">
        <v>274</v>
      </c>
    </row>
    <row r="90" spans="1:3">
      <c r="A90" t="s">
        <v>384</v>
      </c>
      <c r="B90" t="s">
        <v>52</v>
      </c>
      <c r="C90" s="16" t="s">
        <v>275</v>
      </c>
    </row>
    <row r="91" spans="1:3">
      <c r="A91" t="s">
        <v>385</v>
      </c>
      <c r="B91" t="s">
        <v>76</v>
      </c>
      <c r="C91" s="16" t="s">
        <v>448</v>
      </c>
    </row>
    <row r="92" spans="1:3">
      <c r="A92" t="s">
        <v>393</v>
      </c>
      <c r="B92" t="s">
        <v>649</v>
      </c>
      <c r="C92" s="16" t="s">
        <v>1158</v>
      </c>
    </row>
    <row r="93" spans="1:3">
      <c r="A93" t="s">
        <v>392</v>
      </c>
      <c r="B93" t="s">
        <v>79</v>
      </c>
      <c r="C93" t="s">
        <v>422</v>
      </c>
    </row>
    <row r="94" spans="1:3">
      <c r="A94" t="s">
        <v>389</v>
      </c>
      <c r="B94" t="s">
        <v>71</v>
      </c>
      <c r="C94" s="16" t="s">
        <v>386</v>
      </c>
    </row>
    <row r="95" spans="1:3">
      <c r="A95" t="s">
        <v>396</v>
      </c>
      <c r="B95" t="s">
        <v>67</v>
      </c>
      <c r="C95" s="16" t="s">
        <v>387</v>
      </c>
    </row>
    <row r="96" spans="1:3">
      <c r="A96" t="s">
        <v>390</v>
      </c>
      <c r="B96" t="s">
        <v>0</v>
      </c>
      <c r="C96" s="16" t="s">
        <v>388</v>
      </c>
    </row>
    <row r="97" spans="1:3">
      <c r="A97" t="s">
        <v>401</v>
      </c>
      <c r="B97" t="s">
        <v>472</v>
      </c>
      <c r="C97" s="16" t="s">
        <v>400</v>
      </c>
    </row>
    <row r="98" spans="1:3" ht="12.75" customHeight="1">
      <c r="A98" s="16" t="s">
        <v>464</v>
      </c>
      <c r="B98" s="16" t="s">
        <v>37</v>
      </c>
      <c r="C98" s="16" t="s">
        <v>443</v>
      </c>
    </row>
    <row r="99" spans="1:3">
      <c r="A99" s="9" t="s">
        <v>391</v>
      </c>
      <c r="B99" s="9" t="s">
        <v>68</v>
      </c>
      <c r="C99" s="16" t="s">
        <v>276</v>
      </c>
    </row>
    <row r="100" spans="1:3">
      <c r="A100" s="9" t="s">
        <v>402</v>
      </c>
      <c r="B100" s="9" t="s">
        <v>77</v>
      </c>
      <c r="C100" s="16" t="s">
        <v>282</v>
      </c>
    </row>
    <row r="101" spans="1:3">
      <c r="A101" t="s">
        <v>404</v>
      </c>
      <c r="B101" t="s">
        <v>80</v>
      </c>
      <c r="C101" s="16" t="s">
        <v>283</v>
      </c>
    </row>
    <row r="102" spans="1:3">
      <c r="A102" t="s">
        <v>405</v>
      </c>
      <c r="B102" t="s">
        <v>81</v>
      </c>
      <c r="C102" s="16" t="s">
        <v>284</v>
      </c>
    </row>
    <row r="103" spans="1:3">
      <c r="A103" t="s">
        <v>406</v>
      </c>
      <c r="B103" t="s">
        <v>78</v>
      </c>
      <c r="C103" s="16" t="s">
        <v>285</v>
      </c>
    </row>
    <row r="104" spans="1:3">
      <c r="A104" t="s">
        <v>407</v>
      </c>
      <c r="B104" t="s">
        <v>286</v>
      </c>
      <c r="C104" s="16" t="s">
        <v>287</v>
      </c>
    </row>
    <row r="105" spans="1:3">
      <c r="A105" t="s">
        <v>408</v>
      </c>
      <c r="B105" t="s">
        <v>495</v>
      </c>
      <c r="C105" s="16" t="s">
        <v>496</v>
      </c>
    </row>
    <row r="106" spans="1:3">
      <c r="A106" t="s">
        <v>409</v>
      </c>
      <c r="B106" t="s">
        <v>155</v>
      </c>
      <c r="C106" s="16" t="s">
        <v>277</v>
      </c>
    </row>
    <row r="107" spans="1:3">
      <c r="A107" t="s">
        <v>497</v>
      </c>
      <c r="B107" t="s">
        <v>495</v>
      </c>
      <c r="C107" s="16" t="s">
        <v>496</v>
      </c>
    </row>
    <row r="108" spans="1:3">
      <c r="A108" t="s">
        <v>410</v>
      </c>
      <c r="B108" t="s">
        <v>493</v>
      </c>
      <c r="C108" s="16" t="s">
        <v>494</v>
      </c>
    </row>
    <row r="109" spans="1:3">
      <c r="A109" t="s">
        <v>411</v>
      </c>
      <c r="B109" t="s">
        <v>153</v>
      </c>
      <c r="C109" s="16" t="s">
        <v>288</v>
      </c>
    </row>
    <row r="110" spans="1:3">
      <c r="A110" t="s">
        <v>487</v>
      </c>
      <c r="B110" s="17" t="s">
        <v>491</v>
      </c>
      <c r="C110" s="23" t="s">
        <v>492</v>
      </c>
    </row>
    <row r="111" spans="1:3">
      <c r="A111" t="s">
        <v>488</v>
      </c>
      <c r="B111" s="17" t="s">
        <v>489</v>
      </c>
      <c r="C111" s="23" t="s">
        <v>490</v>
      </c>
    </row>
    <row r="112" spans="1:3">
      <c r="A112" t="s">
        <v>414</v>
      </c>
      <c r="B112" t="s">
        <v>156</v>
      </c>
      <c r="C112" s="16" t="s">
        <v>289</v>
      </c>
    </row>
    <row r="113" spans="1:3">
      <c r="A113" t="s">
        <v>403</v>
      </c>
      <c r="B113" t="s">
        <v>154</v>
      </c>
      <c r="C113" s="16" t="s">
        <v>278</v>
      </c>
    </row>
    <row r="114" spans="1:3" ht="25.5">
      <c r="A114" t="s">
        <v>412</v>
      </c>
      <c r="B114" s="17" t="s">
        <v>1194</v>
      </c>
      <c r="C114" s="23" t="s">
        <v>1193</v>
      </c>
    </row>
    <row r="115" spans="1:3">
      <c r="A115" t="s">
        <v>113</v>
      </c>
      <c r="B115" t="s">
        <v>82</v>
      </c>
      <c r="C115" s="16" t="s">
        <v>279</v>
      </c>
    </row>
    <row r="116" spans="1:3">
      <c r="A116" t="s">
        <v>114</v>
      </c>
      <c r="B116" t="s">
        <v>83</v>
      </c>
      <c r="C116" s="16" t="s">
        <v>280</v>
      </c>
    </row>
    <row r="117" spans="1:3" ht="25.5">
      <c r="A117" s="17" t="s">
        <v>481</v>
      </c>
      <c r="B117" s="17" t="s">
        <v>482</v>
      </c>
      <c r="C117" s="23" t="s">
        <v>479</v>
      </c>
    </row>
    <row r="118" spans="1:3" ht="25.5">
      <c r="A118" s="17" t="s">
        <v>485</v>
      </c>
      <c r="B118" s="17" t="s">
        <v>483</v>
      </c>
      <c r="C118" s="23" t="s">
        <v>484</v>
      </c>
    </row>
    <row r="119" spans="1:3">
      <c r="A119" t="s">
        <v>473</v>
      </c>
      <c r="B119" t="s">
        <v>474</v>
      </c>
      <c r="C119" s="16" t="s">
        <v>362</v>
      </c>
    </row>
    <row r="120" spans="1:3">
      <c r="A120" t="s">
        <v>475</v>
      </c>
      <c r="B120" t="s">
        <v>476</v>
      </c>
      <c r="C120" s="67" t="s">
        <v>267</v>
      </c>
    </row>
    <row r="121" spans="1:3">
      <c r="A121" t="s">
        <v>415</v>
      </c>
      <c r="B121" t="s">
        <v>4</v>
      </c>
      <c r="C121" s="16" t="s">
        <v>281</v>
      </c>
    </row>
    <row r="122" spans="1:3">
      <c r="A122" t="s">
        <v>413</v>
      </c>
      <c r="B122" t="s">
        <v>550</v>
      </c>
      <c r="C122" s="16" t="s">
        <v>549</v>
      </c>
    </row>
    <row r="123" spans="1:3">
      <c r="A123" s="9" t="s">
        <v>416</v>
      </c>
      <c r="B123" s="9" t="s">
        <v>84</v>
      </c>
      <c r="C123" s="16" t="s">
        <v>290</v>
      </c>
    </row>
    <row r="124" spans="1:3">
      <c r="A124" s="12" t="s">
        <v>417</v>
      </c>
      <c r="B124" s="12" t="s">
        <v>157</v>
      </c>
      <c r="C124" s="85" t="s">
        <v>291</v>
      </c>
    </row>
    <row r="125" spans="1:3">
      <c r="A125" s="18" t="s">
        <v>582</v>
      </c>
      <c r="B125" s="99" t="s">
        <v>581</v>
      </c>
      <c r="C125" s="23" t="s">
        <v>561</v>
      </c>
    </row>
    <row r="126" spans="1:3">
      <c r="A126" s="18" t="s">
        <v>560</v>
      </c>
      <c r="B126" s="98" t="s">
        <v>113</v>
      </c>
      <c r="C126" s="98" t="s">
        <v>560</v>
      </c>
    </row>
    <row r="127" spans="1:3">
      <c r="A127" s="18" t="s">
        <v>559</v>
      </c>
      <c r="B127" s="98" t="s">
        <v>114</v>
      </c>
      <c r="C127" s="98" t="s">
        <v>559</v>
      </c>
    </row>
    <row r="128" spans="1:3" ht="25.5">
      <c r="A128" s="18" t="s">
        <v>584</v>
      </c>
      <c r="B128" s="98" t="s">
        <v>583</v>
      </c>
      <c r="C128" s="23" t="s">
        <v>567</v>
      </c>
    </row>
    <row r="129" spans="1:3" ht="25.5">
      <c r="A129" s="18" t="s">
        <v>585</v>
      </c>
      <c r="B129" s="99" t="s">
        <v>633</v>
      </c>
      <c r="C129" s="23" t="s">
        <v>634</v>
      </c>
    </row>
    <row r="130" spans="1:3" ht="25.5">
      <c r="A130" s="18" t="s">
        <v>586</v>
      </c>
      <c r="B130" s="99" t="s">
        <v>636</v>
      </c>
      <c r="C130" s="23" t="s">
        <v>632</v>
      </c>
    </row>
    <row r="131" spans="1:3" ht="25.5">
      <c r="A131" s="18" t="s">
        <v>587</v>
      </c>
      <c r="B131" s="99" t="s">
        <v>637</v>
      </c>
      <c r="C131" s="23" t="s">
        <v>635</v>
      </c>
    </row>
    <row r="132" spans="1:3" ht="25.5">
      <c r="A132" s="18" t="s">
        <v>589</v>
      </c>
      <c r="B132" s="99" t="s">
        <v>588</v>
      </c>
      <c r="C132" s="23" t="s">
        <v>638</v>
      </c>
    </row>
    <row r="133" spans="1:3" ht="25.5">
      <c r="A133" s="18" t="s">
        <v>591</v>
      </c>
      <c r="B133" s="99" t="s">
        <v>590</v>
      </c>
      <c r="C133" s="23" t="s">
        <v>562</v>
      </c>
    </row>
    <row r="134" spans="1:3" ht="25.5">
      <c r="A134" s="18" t="s">
        <v>592</v>
      </c>
      <c r="B134" s="99" t="s">
        <v>639</v>
      </c>
      <c r="C134" s="23" t="s">
        <v>566</v>
      </c>
    </row>
    <row r="135" spans="1:3" ht="38.25">
      <c r="A135" s="18" t="s">
        <v>594</v>
      </c>
      <c r="B135" s="99" t="s">
        <v>593</v>
      </c>
      <c r="C135" s="23" t="s">
        <v>565</v>
      </c>
    </row>
    <row r="136" spans="1:3" ht="25.5">
      <c r="A136" s="18" t="s">
        <v>596</v>
      </c>
      <c r="B136" s="99" t="s">
        <v>595</v>
      </c>
      <c r="C136" s="23" t="s">
        <v>563</v>
      </c>
    </row>
    <row r="137" spans="1:3" ht="38.25">
      <c r="A137" s="18" t="s">
        <v>598</v>
      </c>
      <c r="B137" s="99" t="s">
        <v>597</v>
      </c>
      <c r="C137" s="23" t="s">
        <v>564</v>
      </c>
    </row>
    <row r="138" spans="1:3" ht="25.5">
      <c r="A138" s="18" t="s">
        <v>600</v>
      </c>
      <c r="B138" s="99" t="s">
        <v>640</v>
      </c>
      <c r="C138" s="23" t="s">
        <v>599</v>
      </c>
    </row>
    <row r="139" spans="1:3">
      <c r="A139" s="18" t="s">
        <v>631</v>
      </c>
      <c r="B139" s="99" t="s">
        <v>629</v>
      </c>
      <c r="C139" s="23" t="s">
        <v>630</v>
      </c>
    </row>
    <row r="140" spans="1:3">
      <c r="A140" s="18" t="s">
        <v>602</v>
      </c>
      <c r="B140" s="99" t="s">
        <v>601</v>
      </c>
      <c r="C140" s="23" t="s">
        <v>568</v>
      </c>
    </row>
    <row r="141" spans="1:3">
      <c r="A141" s="18" t="s">
        <v>604</v>
      </c>
      <c r="B141" s="99" t="s">
        <v>603</v>
      </c>
      <c r="C141" s="23" t="s">
        <v>569</v>
      </c>
    </row>
    <row r="142" spans="1:3">
      <c r="A142" s="18" t="s">
        <v>607</v>
      </c>
      <c r="B142" s="99" t="s">
        <v>606</v>
      </c>
      <c r="C142" s="23" t="s">
        <v>605</v>
      </c>
    </row>
    <row r="143" spans="1:3">
      <c r="A143" s="18" t="s">
        <v>609</v>
      </c>
      <c r="B143" s="99" t="s">
        <v>608</v>
      </c>
      <c r="C143" s="23" t="s">
        <v>579</v>
      </c>
    </row>
    <row r="144" spans="1:3">
      <c r="A144" s="18" t="s">
        <v>610</v>
      </c>
      <c r="B144" s="99" t="s">
        <v>610</v>
      </c>
      <c r="C144" s="23" t="s">
        <v>571</v>
      </c>
    </row>
    <row r="145" spans="1:6">
      <c r="A145" s="18" t="s">
        <v>611</v>
      </c>
      <c r="B145" s="99" t="s">
        <v>611</v>
      </c>
      <c r="C145" s="23" t="s">
        <v>572</v>
      </c>
    </row>
    <row r="146" spans="1:6">
      <c r="A146" s="18" t="s">
        <v>613</v>
      </c>
      <c r="B146" s="99" t="s">
        <v>612</v>
      </c>
      <c r="C146" s="23" t="s">
        <v>614</v>
      </c>
    </row>
    <row r="147" spans="1:6">
      <c r="A147" s="18" t="s">
        <v>616</v>
      </c>
      <c r="B147" s="99" t="s">
        <v>615</v>
      </c>
      <c r="C147" s="23" t="s">
        <v>570</v>
      </c>
    </row>
    <row r="148" spans="1:6">
      <c r="A148" s="100" t="s">
        <v>624</v>
      </c>
      <c r="B148" s="100" t="s">
        <v>619</v>
      </c>
      <c r="C148" s="100" t="s">
        <v>573</v>
      </c>
      <c r="D148" s="100"/>
      <c r="E148" s="100"/>
      <c r="F148" s="100"/>
    </row>
    <row r="149" spans="1:6">
      <c r="A149" s="100" t="s">
        <v>625</v>
      </c>
      <c r="B149" s="100" t="s">
        <v>620</v>
      </c>
      <c r="C149" s="100" t="s">
        <v>574</v>
      </c>
      <c r="D149" s="100"/>
      <c r="E149" s="100"/>
      <c r="F149" s="100"/>
    </row>
    <row r="150" spans="1:6">
      <c r="A150" s="100" t="s">
        <v>626</v>
      </c>
      <c r="B150" s="100" t="s">
        <v>621</v>
      </c>
      <c r="C150" s="100" t="s">
        <v>575</v>
      </c>
      <c r="D150" s="100"/>
      <c r="E150" s="100"/>
      <c r="F150" s="100"/>
    </row>
    <row r="151" spans="1:6">
      <c r="A151" s="100" t="s">
        <v>627</v>
      </c>
      <c r="B151" s="100" t="s">
        <v>622</v>
      </c>
      <c r="C151" s="100" t="s">
        <v>576</v>
      </c>
      <c r="D151" s="100"/>
      <c r="E151" s="100"/>
      <c r="F151" s="100"/>
    </row>
    <row r="152" spans="1:6">
      <c r="A152" s="100" t="s">
        <v>628</v>
      </c>
      <c r="B152" s="100" t="s">
        <v>623</v>
      </c>
      <c r="C152" s="100" t="s">
        <v>577</v>
      </c>
      <c r="D152" s="100"/>
      <c r="E152" s="100"/>
      <c r="F152" s="100"/>
    </row>
    <row r="153" spans="1:6">
      <c r="A153" s="18" t="s">
        <v>618</v>
      </c>
      <c r="B153" s="99" t="s">
        <v>617</v>
      </c>
      <c r="C153" s="23" t="s">
        <v>578</v>
      </c>
    </row>
    <row r="154" spans="1:6">
      <c r="A154" s="74" t="s">
        <v>539</v>
      </c>
      <c r="B154" s="74" t="s">
        <v>540</v>
      </c>
      <c r="C154" s="74" t="s">
        <v>541</v>
      </c>
    </row>
    <row r="155" spans="1:6">
      <c r="A155" s="74" t="s">
        <v>542</v>
      </c>
      <c r="B155" s="74" t="s">
        <v>543</v>
      </c>
      <c r="C155" s="74" t="s">
        <v>544</v>
      </c>
    </row>
    <row r="156" spans="1:6">
      <c r="A156" t="s">
        <v>499</v>
      </c>
      <c r="B156" t="s">
        <v>500</v>
      </c>
      <c r="C156" s="67" t="s">
        <v>498</v>
      </c>
    </row>
    <row r="157" spans="1:6">
      <c r="A157" s="74" t="s">
        <v>504</v>
      </c>
      <c r="B157" s="74" t="s">
        <v>505</v>
      </c>
      <c r="C157" s="83" t="s">
        <v>506</v>
      </c>
    </row>
    <row r="158" spans="1:6">
      <c r="A158" s="98" t="s">
        <v>1169</v>
      </c>
      <c r="B158" s="18" t="s">
        <v>1186</v>
      </c>
      <c r="C158" s="98" t="s">
        <v>1168</v>
      </c>
    </row>
    <row r="159" spans="1:6">
      <c r="A159" t="s">
        <v>510</v>
      </c>
      <c r="B159" t="s">
        <v>501</v>
      </c>
      <c r="C159" s="67" t="s">
        <v>511</v>
      </c>
    </row>
    <row r="160" spans="1:6">
      <c r="A160" t="s">
        <v>512</v>
      </c>
      <c r="B160" t="s">
        <v>502</v>
      </c>
      <c r="C160" s="67" t="s">
        <v>513</v>
      </c>
    </row>
    <row r="161" spans="1:13">
      <c r="A161" t="s">
        <v>514</v>
      </c>
      <c r="B161" t="s">
        <v>509</v>
      </c>
      <c r="C161" s="67" t="s">
        <v>1173</v>
      </c>
    </row>
    <row r="162" spans="1:13">
      <c r="A162" t="s">
        <v>507</v>
      </c>
      <c r="B162" t="s">
        <v>503</v>
      </c>
      <c r="C162" s="67" t="s">
        <v>508</v>
      </c>
    </row>
    <row r="163" spans="1:13">
      <c r="A163" s="9" t="s">
        <v>515</v>
      </c>
      <c r="B163" s="9" t="s">
        <v>517</v>
      </c>
      <c r="C163" s="67" t="s">
        <v>516</v>
      </c>
    </row>
    <row r="164" spans="1:13">
      <c r="A164" s="18" t="s">
        <v>1170</v>
      </c>
      <c r="B164" s="18" t="s">
        <v>1175</v>
      </c>
      <c r="C164" s="67" t="s">
        <v>1176</v>
      </c>
    </row>
    <row r="165" spans="1:13" ht="63.75">
      <c r="A165" s="16" t="s">
        <v>518</v>
      </c>
      <c r="B165" s="23" t="s">
        <v>1174</v>
      </c>
      <c r="C165" s="65" t="s">
        <v>1179</v>
      </c>
    </row>
    <row r="166" spans="1:13">
      <c r="A166" s="16" t="s">
        <v>1172</v>
      </c>
      <c r="B166" s="23" t="s">
        <v>1177</v>
      </c>
      <c r="C166" s="65" t="s">
        <v>1178</v>
      </c>
    </row>
    <row r="167" spans="1:13" ht="115.5" customHeight="1">
      <c r="A167" s="85" t="s">
        <v>1171</v>
      </c>
      <c r="B167" s="77" t="s">
        <v>1185</v>
      </c>
      <c r="C167" s="84" t="s">
        <v>1184</v>
      </c>
      <c r="E167" s="17"/>
      <c r="F167" s="17"/>
      <c r="G167" s="17"/>
      <c r="H167" s="17"/>
      <c r="I167" s="17"/>
      <c r="J167" s="17"/>
      <c r="K167" s="17"/>
      <c r="L167" s="17"/>
      <c r="M167" s="17"/>
    </row>
    <row r="168" spans="1:13">
      <c r="A168" s="16" t="s">
        <v>519</v>
      </c>
      <c r="B168" s="23" t="s">
        <v>545</v>
      </c>
      <c r="C168" s="65" t="s">
        <v>525</v>
      </c>
    </row>
    <row r="169" spans="1:13">
      <c r="A169" s="16" t="s">
        <v>522</v>
      </c>
      <c r="B169" s="23" t="s">
        <v>520</v>
      </c>
      <c r="C169" s="65" t="s">
        <v>524</v>
      </c>
    </row>
    <row r="170" spans="1:13">
      <c r="A170" s="16" t="s">
        <v>523</v>
      </c>
      <c r="B170" s="23" t="s">
        <v>521</v>
      </c>
      <c r="C170" s="65" t="s">
        <v>526</v>
      </c>
    </row>
    <row r="171" spans="1:13" ht="25.5">
      <c r="A171" s="77" t="s">
        <v>551</v>
      </c>
      <c r="B171" s="77" t="s">
        <v>553</v>
      </c>
      <c r="C171" s="84" t="s">
        <v>552</v>
      </c>
    </row>
    <row r="172" spans="1:13" ht="63.75">
      <c r="A172" s="16" t="s">
        <v>529</v>
      </c>
      <c r="B172" s="23" t="s">
        <v>530</v>
      </c>
      <c r="C172" s="65" t="s">
        <v>531</v>
      </c>
    </row>
    <row r="173" spans="1:13">
      <c r="A173" s="16" t="s">
        <v>532</v>
      </c>
      <c r="B173" s="23" t="s">
        <v>527</v>
      </c>
      <c r="C173" s="65" t="s">
        <v>533</v>
      </c>
    </row>
    <row r="174" spans="1:13">
      <c r="A174" s="85" t="s">
        <v>534</v>
      </c>
      <c r="B174" s="77" t="s">
        <v>528</v>
      </c>
      <c r="C174" s="84" t="s">
        <v>535</v>
      </c>
    </row>
    <row r="175" spans="1:13" ht="51">
      <c r="A175" s="91" t="s">
        <v>555</v>
      </c>
      <c r="B175" s="91" t="s">
        <v>1391</v>
      </c>
      <c r="C175" s="92" t="s">
        <v>1392</v>
      </c>
    </row>
    <row r="176" spans="1:13">
      <c r="A176" s="88" t="s">
        <v>538</v>
      </c>
      <c r="B176" s="89" t="s">
        <v>536</v>
      </c>
      <c r="C176" s="90" t="s">
        <v>537</v>
      </c>
    </row>
    <row r="177" spans="1:3">
      <c r="A177" t="s">
        <v>1224</v>
      </c>
      <c r="B177" s="17" t="s">
        <v>169</v>
      </c>
      <c r="C177" s="23" t="s">
        <v>1228</v>
      </c>
    </row>
    <row r="178" spans="1:3">
      <c r="A178" t="s">
        <v>1225</v>
      </c>
      <c r="B178" s="17" t="s">
        <v>1226</v>
      </c>
      <c r="C178" s="23" t="s">
        <v>1227</v>
      </c>
    </row>
    <row r="179" spans="1:3">
      <c r="A179" s="67" t="s">
        <v>157</v>
      </c>
      <c r="B179" s="67" t="s">
        <v>157</v>
      </c>
      <c r="C179" s="16" t="s">
        <v>1195</v>
      </c>
    </row>
    <row r="180" spans="1:3">
      <c r="A180" t="s">
        <v>86</v>
      </c>
      <c r="B180" t="s">
        <v>86</v>
      </c>
      <c r="C180" s="16" t="s">
        <v>1187</v>
      </c>
    </row>
    <row r="181" spans="1:3">
      <c r="A181" t="s">
        <v>87</v>
      </c>
      <c r="B181" t="s">
        <v>87</v>
      </c>
      <c r="C181" s="16" t="s">
        <v>418</v>
      </c>
    </row>
    <row r="182" spans="1:3">
      <c r="A182" s="16" t="s">
        <v>419</v>
      </c>
      <c r="B182" s="16" t="s">
        <v>1198</v>
      </c>
      <c r="C182" s="16" t="s">
        <v>1199</v>
      </c>
    </row>
    <row r="183" spans="1:3">
      <c r="A183" s="16" t="s">
        <v>1197</v>
      </c>
      <c r="B183" s="16" t="s">
        <v>1208</v>
      </c>
      <c r="C183" s="16" t="s">
        <v>1196</v>
      </c>
    </row>
    <row r="184" spans="1:3">
      <c r="A184" t="s">
        <v>1200</v>
      </c>
      <c r="B184" t="s">
        <v>1200</v>
      </c>
      <c r="C184" s="16" t="s">
        <v>1201</v>
      </c>
    </row>
    <row r="185" spans="1:3">
      <c r="A185" t="s">
        <v>1202</v>
      </c>
      <c r="B185" t="s">
        <v>1202</v>
      </c>
      <c r="C185" s="16" t="s">
        <v>1234</v>
      </c>
    </row>
    <row r="186" spans="1:3">
      <c r="A186" t="s">
        <v>88</v>
      </c>
      <c r="B186" t="s">
        <v>88</v>
      </c>
      <c r="C186" s="16" t="s">
        <v>1233</v>
      </c>
    </row>
    <row r="187" spans="1:3">
      <c r="A187" t="s">
        <v>1210</v>
      </c>
      <c r="B187" t="s">
        <v>1211</v>
      </c>
      <c r="C187" s="16" t="s">
        <v>1223</v>
      </c>
    </row>
    <row r="188" spans="1:3">
      <c r="A188" t="s">
        <v>89</v>
      </c>
      <c r="B188" t="s">
        <v>89</v>
      </c>
      <c r="C188" s="16" t="s">
        <v>1188</v>
      </c>
    </row>
    <row r="189" spans="1:3">
      <c r="A189" t="s">
        <v>90</v>
      </c>
      <c r="B189" t="s">
        <v>90</v>
      </c>
      <c r="C189" s="16" t="s">
        <v>1189</v>
      </c>
    </row>
    <row r="190" spans="1:3">
      <c r="A190" t="s">
        <v>91</v>
      </c>
      <c r="B190" t="s">
        <v>91</v>
      </c>
      <c r="C190" s="16" t="s">
        <v>1190</v>
      </c>
    </row>
    <row r="191" spans="1:3">
      <c r="A191" t="s">
        <v>1209</v>
      </c>
      <c r="B191" t="s">
        <v>1204</v>
      </c>
      <c r="C191" s="16" t="s">
        <v>1203</v>
      </c>
    </row>
    <row r="192" spans="1:3">
      <c r="A192" t="s">
        <v>1205</v>
      </c>
      <c r="B192" t="s">
        <v>1205</v>
      </c>
      <c r="C192" t="s">
        <v>1212</v>
      </c>
    </row>
    <row r="193" spans="1:3">
      <c r="A193" t="s">
        <v>93</v>
      </c>
      <c r="B193" t="s">
        <v>668</v>
      </c>
      <c r="C193" s="16" t="s">
        <v>669</v>
      </c>
    </row>
    <row r="194" spans="1:3">
      <c r="A194" t="s">
        <v>94</v>
      </c>
      <c r="B194" t="s">
        <v>670</v>
      </c>
      <c r="C194" s="16" t="s">
        <v>671</v>
      </c>
    </row>
    <row r="195" spans="1:3">
      <c r="A195" t="s">
        <v>1213</v>
      </c>
      <c r="B195" t="s">
        <v>1214</v>
      </c>
      <c r="C195" s="16" t="s">
        <v>1191</v>
      </c>
    </row>
    <row r="196" spans="1:3">
      <c r="A196" t="s">
        <v>95</v>
      </c>
      <c r="B196" t="s">
        <v>1216</v>
      </c>
      <c r="C196" s="16" t="s">
        <v>1215</v>
      </c>
    </row>
    <row r="197" spans="1:3">
      <c r="A197" t="s">
        <v>96</v>
      </c>
      <c r="B197" t="s">
        <v>96</v>
      </c>
      <c r="C197" s="16" t="s">
        <v>1192</v>
      </c>
    </row>
    <row r="198" spans="1:3">
      <c r="A198" t="s">
        <v>97</v>
      </c>
      <c r="B198" t="s">
        <v>97</v>
      </c>
      <c r="C198" s="16" t="s">
        <v>1217</v>
      </c>
    </row>
    <row r="199" spans="1:3">
      <c r="A199" t="s">
        <v>100</v>
      </c>
      <c r="B199" t="s">
        <v>100</v>
      </c>
      <c r="C199" s="16" t="s">
        <v>1218</v>
      </c>
    </row>
    <row r="200" spans="1:3">
      <c r="A200" t="s">
        <v>101</v>
      </c>
      <c r="B200" t="s">
        <v>101</v>
      </c>
      <c r="C200" s="16" t="s">
        <v>1219</v>
      </c>
    </row>
    <row r="201" spans="1:3">
      <c r="A201" t="s">
        <v>102</v>
      </c>
      <c r="B201" t="s">
        <v>102</v>
      </c>
      <c r="C201" s="16" t="s">
        <v>1220</v>
      </c>
    </row>
    <row r="202" spans="1:3">
      <c r="A202" t="s">
        <v>103</v>
      </c>
      <c r="B202" t="s">
        <v>103</v>
      </c>
      <c r="C202" s="16" t="s">
        <v>1221</v>
      </c>
    </row>
    <row r="203" spans="1:3">
      <c r="A203" t="s">
        <v>106</v>
      </c>
      <c r="B203" t="s">
        <v>106</v>
      </c>
      <c r="C203" s="16" t="s">
        <v>829</v>
      </c>
    </row>
    <row r="204" spans="1:3">
      <c r="A204" t="s">
        <v>53</v>
      </c>
      <c r="B204" t="s">
        <v>104</v>
      </c>
      <c r="C204" s="16" t="s">
        <v>720</v>
      </c>
    </row>
    <row r="205" spans="1:3">
      <c r="A205" t="s">
        <v>73</v>
      </c>
      <c r="B205" t="s">
        <v>105</v>
      </c>
      <c r="C205" s="16" t="s">
        <v>1222</v>
      </c>
    </row>
    <row r="206" spans="1:3">
      <c r="A206" s="74" t="s">
        <v>108</v>
      </c>
      <c r="B206" s="74" t="s">
        <v>108</v>
      </c>
      <c r="C206" s="74" t="s">
        <v>108</v>
      </c>
    </row>
    <row r="207" spans="1:3">
      <c r="A207" s="18" t="s">
        <v>107</v>
      </c>
      <c r="B207" s="18" t="s">
        <v>1229</v>
      </c>
      <c r="C207" s="16" t="s">
        <v>1230</v>
      </c>
    </row>
    <row r="208" spans="1:3">
      <c r="A208" s="18" t="s">
        <v>1231</v>
      </c>
      <c r="B208" s="18" t="s">
        <v>1231</v>
      </c>
      <c r="C208" s="16" t="s">
        <v>1232</v>
      </c>
    </row>
    <row r="209" spans="1:3">
      <c r="A209" s="18" t="s">
        <v>122</v>
      </c>
      <c r="B209" s="18" t="s">
        <v>122</v>
      </c>
      <c r="C209" s="16" t="s">
        <v>1235</v>
      </c>
    </row>
    <row r="210" spans="1:3">
      <c r="A210" s="18" t="s">
        <v>123</v>
      </c>
      <c r="B210" s="18" t="s">
        <v>123</v>
      </c>
      <c r="C210" s="16" t="s">
        <v>1236</v>
      </c>
    </row>
    <row r="211" spans="1:3">
      <c r="A211" s="18" t="s">
        <v>124</v>
      </c>
      <c r="B211" s="18" t="s">
        <v>124</v>
      </c>
      <c r="C211" s="16" t="s">
        <v>1237</v>
      </c>
    </row>
    <row r="212" spans="1:3">
      <c r="A212" s="18" t="s">
        <v>1239</v>
      </c>
      <c r="B212" s="18" t="s">
        <v>1239</v>
      </c>
      <c r="C212" s="16" t="s">
        <v>1238</v>
      </c>
    </row>
    <row r="213" spans="1:3">
      <c r="A213" t="s">
        <v>480</v>
      </c>
      <c r="B213" t="s">
        <v>480</v>
      </c>
      <c r="C213" s="16" t="s">
        <v>1240</v>
      </c>
    </row>
    <row r="214" spans="1:3">
      <c r="A214" t="s">
        <v>128</v>
      </c>
      <c r="B214" t="s">
        <v>128</v>
      </c>
      <c r="C214" s="16" t="s">
        <v>1241</v>
      </c>
    </row>
    <row r="215" spans="1:3">
      <c r="A215" t="s">
        <v>129</v>
      </c>
      <c r="B215" t="s">
        <v>129</v>
      </c>
      <c r="C215" s="16" t="s">
        <v>1242</v>
      </c>
    </row>
    <row r="216" spans="1:3">
      <c r="A216" t="s">
        <v>130</v>
      </c>
      <c r="B216" t="s">
        <v>130</v>
      </c>
      <c r="C216" s="16" t="s">
        <v>1243</v>
      </c>
    </row>
    <row r="217" spans="1:3">
      <c r="A217" t="s">
        <v>131</v>
      </c>
      <c r="B217" t="s">
        <v>131</v>
      </c>
      <c r="C217" s="16" t="s">
        <v>1244</v>
      </c>
    </row>
    <row r="218" spans="1:3">
      <c r="A218" t="s">
        <v>133</v>
      </c>
      <c r="B218" t="s">
        <v>133</v>
      </c>
      <c r="C218" s="16" t="s">
        <v>1245</v>
      </c>
    </row>
    <row r="219" spans="1:3">
      <c r="A219" t="s">
        <v>132</v>
      </c>
      <c r="B219" t="s">
        <v>132</v>
      </c>
      <c r="C219" s="16" t="s">
        <v>132</v>
      </c>
    </row>
    <row r="220" spans="1:3">
      <c r="A220" t="s">
        <v>134</v>
      </c>
      <c r="B220" t="s">
        <v>134</v>
      </c>
      <c r="C220" s="16" t="s">
        <v>134</v>
      </c>
    </row>
    <row r="221" spans="1:3">
      <c r="A221" t="s">
        <v>135</v>
      </c>
      <c r="B221" t="s">
        <v>135</v>
      </c>
      <c r="C221" s="16" t="s">
        <v>135</v>
      </c>
    </row>
    <row r="222" spans="1:3">
      <c r="A222" t="s">
        <v>136</v>
      </c>
      <c r="B222" t="s">
        <v>136</v>
      </c>
      <c r="C222" s="16" t="s">
        <v>136</v>
      </c>
    </row>
    <row r="223" spans="1:3">
      <c r="A223" t="s">
        <v>137</v>
      </c>
      <c r="B223" t="s">
        <v>137</v>
      </c>
      <c r="C223" s="16" t="s">
        <v>1246</v>
      </c>
    </row>
    <row r="224" spans="1:3">
      <c r="A224" t="s">
        <v>1206</v>
      </c>
      <c r="B224" t="s">
        <v>1206</v>
      </c>
      <c r="C224" s="16" t="s">
        <v>1248</v>
      </c>
    </row>
    <row r="225" spans="1:3" ht="25.5">
      <c r="A225" s="17" t="s">
        <v>1247</v>
      </c>
      <c r="B225" s="17" t="s">
        <v>1247</v>
      </c>
      <c r="C225" s="23" t="s">
        <v>1249</v>
      </c>
    </row>
    <row r="226" spans="1:3">
      <c r="A226" t="s">
        <v>138</v>
      </c>
      <c r="B226" t="s">
        <v>138</v>
      </c>
      <c r="C226" s="16" t="s">
        <v>1250</v>
      </c>
    </row>
    <row r="227" spans="1:3">
      <c r="A227" t="s">
        <v>1207</v>
      </c>
      <c r="B227" t="s">
        <v>1207</v>
      </c>
      <c r="C227" s="16" t="s">
        <v>1251</v>
      </c>
    </row>
    <row r="228" spans="1:3">
      <c r="A228" t="s">
        <v>139</v>
      </c>
      <c r="B228" t="s">
        <v>139</v>
      </c>
      <c r="C228" s="16" t="s">
        <v>1252</v>
      </c>
    </row>
    <row r="229" spans="1:3">
      <c r="A229" t="s">
        <v>140</v>
      </c>
      <c r="B229" t="s">
        <v>140</v>
      </c>
      <c r="C229" s="16" t="s">
        <v>1253</v>
      </c>
    </row>
    <row r="230" spans="1:3">
      <c r="A230" t="s">
        <v>147</v>
      </c>
      <c r="B230" t="s">
        <v>147</v>
      </c>
      <c r="C230" s="16" t="s">
        <v>1254</v>
      </c>
    </row>
    <row r="231" spans="1:3">
      <c r="A231" t="s">
        <v>148</v>
      </c>
      <c r="B231" t="s">
        <v>148</v>
      </c>
      <c r="C231" s="16" t="s">
        <v>1255</v>
      </c>
    </row>
    <row r="232" spans="1:3">
      <c r="A232" s="12" t="s">
        <v>149</v>
      </c>
      <c r="B232" s="12" t="s">
        <v>149</v>
      </c>
      <c r="C232" s="85" t="s">
        <v>1256</v>
      </c>
    </row>
    <row r="233" spans="1:3">
      <c r="A233" s="302" t="s">
        <v>109</v>
      </c>
      <c r="B233" s="302" t="s">
        <v>109</v>
      </c>
      <c r="C233" s="16" t="s">
        <v>1268</v>
      </c>
    </row>
    <row r="234" spans="1:3" ht="25.5">
      <c r="A234" s="17" t="s">
        <v>110</v>
      </c>
      <c r="B234" s="17" t="s">
        <v>1257</v>
      </c>
      <c r="C234" s="23" t="s">
        <v>1270</v>
      </c>
    </row>
    <row r="235" spans="1:3">
      <c r="A235" t="s">
        <v>111</v>
      </c>
      <c r="B235" t="s">
        <v>111</v>
      </c>
      <c r="C235" t="s">
        <v>1258</v>
      </c>
    </row>
    <row r="236" spans="1:3">
      <c r="A236" t="s">
        <v>112</v>
      </c>
      <c r="B236" t="s">
        <v>1269</v>
      </c>
      <c r="C236" s="16" t="s">
        <v>1259</v>
      </c>
    </row>
    <row r="237" spans="1:3">
      <c r="A237" t="s">
        <v>115</v>
      </c>
      <c r="B237" t="s">
        <v>115</v>
      </c>
      <c r="C237" s="16" t="s">
        <v>115</v>
      </c>
    </row>
    <row r="238" spans="1:3">
      <c r="A238" t="s">
        <v>116</v>
      </c>
      <c r="B238" t="s">
        <v>116</v>
      </c>
      <c r="C238" s="16" t="s">
        <v>1260</v>
      </c>
    </row>
    <row r="239" spans="1:3">
      <c r="A239" t="s">
        <v>1261</v>
      </c>
      <c r="B239" t="s">
        <v>1261</v>
      </c>
      <c r="C239" s="16" t="s">
        <v>1263</v>
      </c>
    </row>
    <row r="240" spans="1:3">
      <c r="A240" s="16" t="s">
        <v>1262</v>
      </c>
      <c r="B240" s="16" t="s">
        <v>1262</v>
      </c>
      <c r="C240" s="16" t="s">
        <v>1264</v>
      </c>
    </row>
    <row r="241" spans="1:3">
      <c r="A241" s="16" t="s">
        <v>117</v>
      </c>
      <c r="B241" s="16" t="s">
        <v>117</v>
      </c>
      <c r="C241" s="16" t="s">
        <v>1265</v>
      </c>
    </row>
    <row r="242" spans="1:3">
      <c r="A242" t="s">
        <v>118</v>
      </c>
      <c r="B242" t="s">
        <v>118</v>
      </c>
      <c r="C242" s="16" t="s">
        <v>1266</v>
      </c>
    </row>
    <row r="243" spans="1:3">
      <c r="A243" t="s">
        <v>119</v>
      </c>
      <c r="B243" t="s">
        <v>119</v>
      </c>
      <c r="C243" t="s">
        <v>1267</v>
      </c>
    </row>
    <row r="244" spans="1:3">
      <c r="A244" t="s">
        <v>120</v>
      </c>
      <c r="B244" t="s">
        <v>120</v>
      </c>
      <c r="C244" t="s">
        <v>120</v>
      </c>
    </row>
    <row r="245" spans="1:3">
      <c r="A245" s="12" t="s">
        <v>121</v>
      </c>
      <c r="B245" s="12" t="s">
        <v>121</v>
      </c>
      <c r="C245" s="12" t="s">
        <v>121</v>
      </c>
    </row>
    <row r="246" spans="1:3">
      <c r="A246" s="302" t="s">
        <v>1283</v>
      </c>
      <c r="B246" s="302" t="s">
        <v>1283</v>
      </c>
      <c r="C246" s="302" t="s">
        <v>1284</v>
      </c>
    </row>
    <row r="247" spans="1:3">
      <c r="A247" t="s">
        <v>170</v>
      </c>
      <c r="B247" t="s">
        <v>170</v>
      </c>
      <c r="C247" s="16" t="s">
        <v>420</v>
      </c>
    </row>
    <row r="248" spans="1:3" ht="25.5">
      <c r="A248" s="17" t="s">
        <v>1285</v>
      </c>
      <c r="B248" s="17" t="s">
        <v>1287</v>
      </c>
      <c r="C248" s="17" t="s">
        <v>1286</v>
      </c>
    </row>
    <row r="249" spans="1:3">
      <c r="A249" t="s">
        <v>171</v>
      </c>
      <c r="B249" t="s">
        <v>171</v>
      </c>
      <c r="C249" s="16" t="s">
        <v>421</v>
      </c>
    </row>
    <row r="250" spans="1:3" ht="63.75">
      <c r="A250" s="19" t="s">
        <v>1288</v>
      </c>
      <c r="B250" s="19" t="s">
        <v>1288</v>
      </c>
      <c r="C250" s="23" t="s">
        <v>1289</v>
      </c>
    </row>
    <row r="251" spans="1:3" ht="12.75" customHeight="1">
      <c r="A251" s="17" t="s">
        <v>174</v>
      </c>
      <c r="B251" s="17" t="s">
        <v>174</v>
      </c>
      <c r="C251" s="16" t="s">
        <v>1290</v>
      </c>
    </row>
    <row r="252" spans="1:3" ht="54" customHeight="1">
      <c r="A252" s="19" t="s">
        <v>179</v>
      </c>
      <c r="B252" s="19" t="s">
        <v>179</v>
      </c>
      <c r="C252" s="23" t="s">
        <v>1291</v>
      </c>
    </row>
    <row r="253" spans="1:3" ht="13.5" customHeight="1">
      <c r="A253" s="17" t="s">
        <v>176</v>
      </c>
      <c r="B253" s="17" t="s">
        <v>176</v>
      </c>
      <c r="C253" s="16" t="s">
        <v>1292</v>
      </c>
    </row>
    <row r="254" spans="1:3" ht="38.25">
      <c r="A254" s="17" t="s">
        <v>181</v>
      </c>
      <c r="B254" s="17" t="s">
        <v>181</v>
      </c>
      <c r="C254" s="23" t="s">
        <v>1293</v>
      </c>
    </row>
    <row r="255" spans="1:3" ht="38.25">
      <c r="A255" s="17" t="s">
        <v>199</v>
      </c>
      <c r="B255" s="17" t="s">
        <v>199</v>
      </c>
      <c r="C255" s="23" t="s">
        <v>1294</v>
      </c>
    </row>
    <row r="256" spans="1:3">
      <c r="A256" s="17" t="s">
        <v>183</v>
      </c>
      <c r="B256" s="17" t="s">
        <v>183</v>
      </c>
      <c r="C256" s="23" t="s">
        <v>1295</v>
      </c>
    </row>
    <row r="257" spans="1:3">
      <c r="A257" s="17" t="s">
        <v>169</v>
      </c>
      <c r="B257" s="17" t="s">
        <v>169</v>
      </c>
      <c r="C257" s="23" t="s">
        <v>1296</v>
      </c>
    </row>
    <row r="258" spans="1:3">
      <c r="A258" s="17" t="s">
        <v>186</v>
      </c>
      <c r="B258" s="17" t="s">
        <v>186</v>
      </c>
      <c r="C258" s="23" t="s">
        <v>1297</v>
      </c>
    </row>
    <row r="259" spans="1:3" ht="25.5">
      <c r="A259" s="17" t="s">
        <v>187</v>
      </c>
      <c r="B259" s="17" t="s">
        <v>187</v>
      </c>
      <c r="C259" s="23" t="s">
        <v>1298</v>
      </c>
    </row>
    <row r="260" spans="1:3">
      <c r="A260" s="17" t="s">
        <v>189</v>
      </c>
      <c r="B260" s="17" t="s">
        <v>189</v>
      </c>
      <c r="C260" s="23" t="s">
        <v>1299</v>
      </c>
    </row>
    <row r="261" spans="1:3">
      <c r="A261" s="17" t="s">
        <v>191</v>
      </c>
      <c r="B261" s="17" t="s">
        <v>191</v>
      </c>
      <c r="C261" s="23" t="s">
        <v>1300</v>
      </c>
    </row>
    <row r="262" spans="1:3">
      <c r="A262" s="17" t="s">
        <v>192</v>
      </c>
      <c r="B262" s="17" t="s">
        <v>192</v>
      </c>
      <c r="C262" s="23" t="s">
        <v>1301</v>
      </c>
    </row>
    <row r="263" spans="1:3">
      <c r="A263" s="17" t="s">
        <v>195</v>
      </c>
      <c r="B263" s="17" t="s">
        <v>195</v>
      </c>
      <c r="C263" s="23" t="s">
        <v>1302</v>
      </c>
    </row>
    <row r="264" spans="1:3" ht="25.5">
      <c r="A264" s="17" t="s">
        <v>196</v>
      </c>
      <c r="B264" s="17" t="s">
        <v>196</v>
      </c>
      <c r="C264" s="23" t="s">
        <v>1303</v>
      </c>
    </row>
    <row r="265" spans="1:3" ht="25.5">
      <c r="A265" s="17" t="s">
        <v>206</v>
      </c>
      <c r="B265" s="17" t="s">
        <v>206</v>
      </c>
      <c r="C265" s="23" t="s">
        <v>1304</v>
      </c>
    </row>
    <row r="266" spans="1:3" ht="25.5">
      <c r="A266" s="17" t="s">
        <v>205</v>
      </c>
      <c r="B266" s="17" t="s">
        <v>205</v>
      </c>
      <c r="C266" s="23" t="s">
        <v>1305</v>
      </c>
    </row>
    <row r="267" spans="1:3" ht="25.5">
      <c r="A267" s="17" t="s">
        <v>207</v>
      </c>
      <c r="B267" s="17" t="s">
        <v>207</v>
      </c>
      <c r="C267" s="23" t="s">
        <v>1306</v>
      </c>
    </row>
    <row r="268" spans="1:3">
      <c r="A268" s="17" t="s">
        <v>201</v>
      </c>
      <c r="B268" s="17" t="s">
        <v>201</v>
      </c>
      <c r="C268" s="23" t="s">
        <v>1307</v>
      </c>
    </row>
    <row r="269" spans="1:3" ht="25.5">
      <c r="A269" s="17" t="s">
        <v>204</v>
      </c>
      <c r="B269" s="17" t="s">
        <v>204</v>
      </c>
      <c r="C269" s="23" t="s">
        <v>1308</v>
      </c>
    </row>
    <row r="270" spans="1:3" ht="25.5">
      <c r="A270" s="17" t="s">
        <v>203</v>
      </c>
      <c r="B270" s="17" t="s">
        <v>203</v>
      </c>
      <c r="C270" s="23" t="s">
        <v>1309</v>
      </c>
    </row>
    <row r="271" spans="1:3" ht="25.5">
      <c r="A271" s="17" t="s">
        <v>202</v>
      </c>
      <c r="B271" s="17" t="s">
        <v>202</v>
      </c>
      <c r="C271" s="23" t="s">
        <v>1310</v>
      </c>
    </row>
    <row r="272" spans="1:3">
      <c r="A272" s="17" t="s">
        <v>185</v>
      </c>
      <c r="B272" s="17" t="s">
        <v>185</v>
      </c>
      <c r="C272" s="23" t="s">
        <v>1387</v>
      </c>
    </row>
    <row r="273" spans="1:3" ht="25.5">
      <c r="A273" s="17" t="s">
        <v>208</v>
      </c>
      <c r="B273" s="17" t="s">
        <v>208</v>
      </c>
      <c r="C273" s="23" t="s">
        <v>1311</v>
      </c>
    </row>
    <row r="274" spans="1:3">
      <c r="A274" s="17" t="s">
        <v>238</v>
      </c>
      <c r="B274" s="17" t="s">
        <v>238</v>
      </c>
      <c r="C274" s="23" t="s">
        <v>1312</v>
      </c>
    </row>
    <row r="275" spans="1:3">
      <c r="A275" s="17" t="s">
        <v>233</v>
      </c>
      <c r="B275" s="17" t="s">
        <v>233</v>
      </c>
      <c r="C275" s="23" t="s">
        <v>1313</v>
      </c>
    </row>
    <row r="276" spans="1:3">
      <c r="A276" s="17" t="s">
        <v>234</v>
      </c>
      <c r="B276" s="17" t="s">
        <v>234</v>
      </c>
      <c r="C276" s="23" t="s">
        <v>1314</v>
      </c>
    </row>
    <row r="277" spans="1:3">
      <c r="A277" s="17" t="s">
        <v>235</v>
      </c>
      <c r="B277" s="17" t="s">
        <v>235</v>
      </c>
      <c r="C277" s="23" t="s">
        <v>1315</v>
      </c>
    </row>
    <row r="278" spans="1:3" ht="25.5">
      <c r="A278" s="17" t="s">
        <v>236</v>
      </c>
      <c r="B278" s="17" t="s">
        <v>236</v>
      </c>
      <c r="C278" s="23" t="s">
        <v>1319</v>
      </c>
    </row>
    <row r="279" spans="1:3" ht="25.5">
      <c r="A279" s="17" t="s">
        <v>1317</v>
      </c>
      <c r="B279" s="17" t="s">
        <v>1317</v>
      </c>
      <c r="C279" s="23" t="s">
        <v>1316</v>
      </c>
    </row>
    <row r="280" spans="1:3" ht="25.5">
      <c r="A280" s="17" t="s">
        <v>237</v>
      </c>
      <c r="B280" s="17" t="s">
        <v>237</v>
      </c>
      <c r="C280" s="23" t="s">
        <v>1318</v>
      </c>
    </row>
    <row r="281" spans="1:3">
      <c r="A281" s="17" t="s">
        <v>232</v>
      </c>
      <c r="B281" s="17" t="s">
        <v>232</v>
      </c>
      <c r="C281" s="23" t="s">
        <v>1320</v>
      </c>
    </row>
    <row r="282" spans="1:3">
      <c r="A282" s="17" t="s">
        <v>231</v>
      </c>
      <c r="B282" s="17" t="s">
        <v>231</v>
      </c>
      <c r="C282" s="23" t="s">
        <v>1321</v>
      </c>
    </row>
    <row r="283" spans="1:3">
      <c r="A283" s="17" t="s">
        <v>230</v>
      </c>
      <c r="B283" s="17" t="s">
        <v>230</v>
      </c>
      <c r="C283" s="23" t="s">
        <v>1322</v>
      </c>
    </row>
    <row r="284" spans="1:3">
      <c r="A284" s="17" t="s">
        <v>229</v>
      </c>
      <c r="B284" s="17" t="s">
        <v>229</v>
      </c>
      <c r="C284" s="23" t="s">
        <v>1323</v>
      </c>
    </row>
    <row r="285" spans="1:3">
      <c r="A285" s="17" t="s">
        <v>228</v>
      </c>
      <c r="B285" s="17" t="s">
        <v>228</v>
      </c>
      <c r="C285" s="23" t="s">
        <v>1324</v>
      </c>
    </row>
    <row r="286" spans="1:3">
      <c r="A286" s="17" t="s">
        <v>227</v>
      </c>
      <c r="B286" s="17" t="s">
        <v>227</v>
      </c>
      <c r="C286" s="23" t="s">
        <v>1325</v>
      </c>
    </row>
    <row r="287" spans="1:3">
      <c r="A287" s="17" t="s">
        <v>226</v>
      </c>
      <c r="B287" s="17" t="s">
        <v>226</v>
      </c>
      <c r="C287" s="23" t="s">
        <v>1326</v>
      </c>
    </row>
    <row r="288" spans="1:3">
      <c r="A288" s="17" t="s">
        <v>225</v>
      </c>
      <c r="B288" s="17" t="s">
        <v>225</v>
      </c>
      <c r="C288" s="23" t="s">
        <v>1327</v>
      </c>
    </row>
    <row r="289" spans="1:3">
      <c r="A289" s="17" t="s">
        <v>217</v>
      </c>
      <c r="B289" s="17" t="s">
        <v>217</v>
      </c>
      <c r="C289" s="17" t="s">
        <v>1328</v>
      </c>
    </row>
    <row r="290" spans="1:3">
      <c r="A290" s="17" t="s">
        <v>216</v>
      </c>
      <c r="B290" s="17" t="s">
        <v>216</v>
      </c>
      <c r="C290" s="17" t="s">
        <v>1329</v>
      </c>
    </row>
    <row r="291" spans="1:3">
      <c r="A291" s="17" t="s">
        <v>215</v>
      </c>
      <c r="B291" s="17" t="s">
        <v>215</v>
      </c>
      <c r="C291" s="17" t="s">
        <v>1330</v>
      </c>
    </row>
    <row r="292" spans="1:3">
      <c r="A292" s="17" t="s">
        <v>214</v>
      </c>
      <c r="B292" s="17" t="s">
        <v>214</v>
      </c>
      <c r="C292" s="17" t="s">
        <v>1331</v>
      </c>
    </row>
    <row r="293" spans="1:3">
      <c r="A293" s="17" t="s">
        <v>1332</v>
      </c>
      <c r="B293" s="17" t="s">
        <v>1332</v>
      </c>
      <c r="C293" s="17" t="s">
        <v>1333</v>
      </c>
    </row>
    <row r="294" spans="1:3">
      <c r="A294" s="17" t="s">
        <v>1334</v>
      </c>
      <c r="B294" s="17" t="s">
        <v>1334</v>
      </c>
      <c r="C294" s="17" t="s">
        <v>1339</v>
      </c>
    </row>
    <row r="295" spans="1:3">
      <c r="A295" s="17" t="s">
        <v>1335</v>
      </c>
      <c r="B295" s="17" t="s">
        <v>1335</v>
      </c>
      <c r="C295" s="17" t="s">
        <v>1340</v>
      </c>
    </row>
    <row r="296" spans="1:3">
      <c r="A296" s="17" t="s">
        <v>1336</v>
      </c>
      <c r="B296" s="17" t="s">
        <v>1336</v>
      </c>
      <c r="C296" s="17" t="s">
        <v>1341</v>
      </c>
    </row>
    <row r="297" spans="1:3">
      <c r="A297" s="17" t="s">
        <v>1337</v>
      </c>
      <c r="B297" s="17" t="s">
        <v>1337</v>
      </c>
      <c r="C297" s="17" t="s">
        <v>1342</v>
      </c>
    </row>
    <row r="298" spans="1:3">
      <c r="A298" s="17" t="s">
        <v>1338</v>
      </c>
      <c r="B298" s="17" t="s">
        <v>1338</v>
      </c>
      <c r="C298" s="17" t="s">
        <v>1343</v>
      </c>
    </row>
    <row r="299" spans="1:3" ht="25.5">
      <c r="A299" s="17" t="s">
        <v>209</v>
      </c>
      <c r="B299" s="17" t="s">
        <v>209</v>
      </c>
      <c r="C299" s="17" t="s">
        <v>1344</v>
      </c>
    </row>
    <row r="300" spans="1:3" ht="38.25">
      <c r="A300" s="17" t="s">
        <v>210</v>
      </c>
      <c r="B300" s="17" t="s">
        <v>210</v>
      </c>
      <c r="C300" s="17" t="s">
        <v>1345</v>
      </c>
    </row>
    <row r="301" spans="1:3" ht="38.25">
      <c r="A301" s="17" t="s">
        <v>211</v>
      </c>
      <c r="B301" s="17" t="s">
        <v>211</v>
      </c>
      <c r="C301" s="17" t="s">
        <v>1346</v>
      </c>
    </row>
    <row r="302" spans="1:3" ht="25.5">
      <c r="A302" s="17" t="s">
        <v>212</v>
      </c>
      <c r="B302" s="17" t="s">
        <v>212</v>
      </c>
      <c r="C302" s="17" t="s">
        <v>1347</v>
      </c>
    </row>
    <row r="303" spans="1:3" ht="51">
      <c r="A303" s="17" t="s">
        <v>213</v>
      </c>
      <c r="B303" s="17" t="s">
        <v>213</v>
      </c>
      <c r="C303" s="17" t="s">
        <v>1348</v>
      </c>
    </row>
    <row r="304" spans="1:3">
      <c r="A304" s="304" t="s">
        <v>786</v>
      </c>
      <c r="B304" s="304" t="s">
        <v>785</v>
      </c>
      <c r="C304" s="74" t="s">
        <v>790</v>
      </c>
    </row>
    <row r="305" spans="1:3">
      <c r="A305" s="17" t="s">
        <v>662</v>
      </c>
      <c r="B305" s="17" t="s">
        <v>663</v>
      </c>
      <c r="C305" t="s">
        <v>664</v>
      </c>
    </row>
    <row r="306" spans="1:3">
      <c r="A306" s="17" t="s">
        <v>665</v>
      </c>
      <c r="B306" s="17" t="s">
        <v>744</v>
      </c>
      <c r="C306" t="s">
        <v>654</v>
      </c>
    </row>
    <row r="307" spans="1:3">
      <c r="A307" s="17" t="s">
        <v>666</v>
      </c>
      <c r="B307" s="17" t="s">
        <v>748</v>
      </c>
      <c r="C307" t="s">
        <v>655</v>
      </c>
    </row>
    <row r="308" spans="1:3">
      <c r="A308" s="17" t="s">
        <v>653</v>
      </c>
      <c r="B308" s="17" t="s">
        <v>749</v>
      </c>
      <c r="C308" t="s">
        <v>656</v>
      </c>
    </row>
    <row r="309" spans="1:3">
      <c r="A309" s="17" t="s">
        <v>667</v>
      </c>
      <c r="B309" s="17" t="s">
        <v>745</v>
      </c>
      <c r="C309" t="s">
        <v>657</v>
      </c>
    </row>
    <row r="310" spans="1:3">
      <c r="A310" s="17" t="s">
        <v>243</v>
      </c>
      <c r="B310" s="17" t="s">
        <v>806</v>
      </c>
      <c r="C310" t="s">
        <v>804</v>
      </c>
    </row>
    <row r="311" spans="1:3">
      <c r="A311" s="17" t="s">
        <v>672</v>
      </c>
      <c r="B311" s="17" t="s">
        <v>807</v>
      </c>
      <c r="C311" t="s">
        <v>658</v>
      </c>
    </row>
    <row r="312" spans="1:3">
      <c r="A312" s="17" t="s">
        <v>673</v>
      </c>
      <c r="B312" s="17" t="s">
        <v>808</v>
      </c>
      <c r="C312" t="s">
        <v>659</v>
      </c>
    </row>
    <row r="313" spans="1:3">
      <c r="A313" s="17" t="s">
        <v>674</v>
      </c>
      <c r="B313" s="17" t="s">
        <v>674</v>
      </c>
      <c r="C313" t="s">
        <v>675</v>
      </c>
    </row>
    <row r="314" spans="1:3">
      <c r="A314" s="17" t="s">
        <v>676</v>
      </c>
      <c r="B314" s="17" t="s">
        <v>676</v>
      </c>
      <c r="C314" t="s">
        <v>660</v>
      </c>
    </row>
    <row r="315" spans="1:3">
      <c r="A315" s="17" t="s">
        <v>736</v>
      </c>
      <c r="B315" s="17" t="s">
        <v>736</v>
      </c>
      <c r="C315" t="s">
        <v>661</v>
      </c>
    </row>
    <row r="316" spans="1:3">
      <c r="A316" s="19" t="s">
        <v>677</v>
      </c>
      <c r="B316" s="19" t="s">
        <v>1062</v>
      </c>
      <c r="C316" s="19" t="s">
        <v>1064</v>
      </c>
    </row>
    <row r="317" spans="1:3" ht="25.5">
      <c r="A317" s="19" t="s">
        <v>1066</v>
      </c>
      <c r="B317" s="19" t="s">
        <v>1063</v>
      </c>
      <c r="C317" s="19" t="s">
        <v>1065</v>
      </c>
    </row>
    <row r="318" spans="1:3">
      <c r="A318" s="19" t="s">
        <v>678</v>
      </c>
      <c r="B318" s="17" t="s">
        <v>1067</v>
      </c>
      <c r="C318" s="17" t="s">
        <v>1064</v>
      </c>
    </row>
    <row r="319" spans="1:3" ht="25.5">
      <c r="A319" s="19" t="s">
        <v>1070</v>
      </c>
      <c r="B319" s="17" t="s">
        <v>1068</v>
      </c>
      <c r="C319" s="19" t="s">
        <v>1069</v>
      </c>
    </row>
    <row r="320" spans="1:3">
      <c r="A320" s="17" t="s">
        <v>679</v>
      </c>
      <c r="B320" s="19" t="s">
        <v>1071</v>
      </c>
      <c r="C320" s="17" t="s">
        <v>1073</v>
      </c>
    </row>
    <row r="321" spans="1:3">
      <c r="A321" s="17" t="s">
        <v>1075</v>
      </c>
      <c r="B321" s="19" t="s">
        <v>1072</v>
      </c>
      <c r="C321" s="17" t="s">
        <v>1074</v>
      </c>
    </row>
    <row r="322" spans="1:3">
      <c r="A322" s="17" t="s">
        <v>680</v>
      </c>
      <c r="B322" s="17" t="s">
        <v>681</v>
      </c>
      <c r="C322" t="s">
        <v>680</v>
      </c>
    </row>
    <row r="323" spans="1:3">
      <c r="A323" s="17" t="s">
        <v>682</v>
      </c>
      <c r="B323" s="19" t="s">
        <v>1006</v>
      </c>
      <c r="C323" t="s">
        <v>1005</v>
      </c>
    </row>
    <row r="324" spans="1:3">
      <c r="A324" s="17" t="s">
        <v>1076</v>
      </c>
      <c r="B324" s="19" t="s">
        <v>1008</v>
      </c>
      <c r="C324" t="s">
        <v>1076</v>
      </c>
    </row>
    <row r="325" spans="1:3">
      <c r="A325" s="17" t="s">
        <v>1009</v>
      </c>
      <c r="B325" s="17" t="s">
        <v>1009</v>
      </c>
      <c r="C325" t="s">
        <v>1077</v>
      </c>
    </row>
    <row r="326" spans="1:3">
      <c r="A326" s="17" t="s">
        <v>683</v>
      </c>
      <c r="B326" s="19" t="s">
        <v>737</v>
      </c>
      <c r="C326" t="s">
        <v>684</v>
      </c>
    </row>
    <row r="327" spans="1:3">
      <c r="A327" s="17" t="s">
        <v>685</v>
      </c>
      <c r="B327" s="17" t="s">
        <v>746</v>
      </c>
      <c r="C327" t="s">
        <v>688</v>
      </c>
    </row>
    <row r="328" spans="1:3">
      <c r="A328" s="17" t="s">
        <v>686</v>
      </c>
      <c r="B328" s="19" t="s">
        <v>686</v>
      </c>
      <c r="C328" t="s">
        <v>687</v>
      </c>
    </row>
    <row r="329" spans="1:3">
      <c r="A329" s="17" t="s">
        <v>692</v>
      </c>
      <c r="B329" s="17" t="s">
        <v>689</v>
      </c>
      <c r="C329" t="s">
        <v>690</v>
      </c>
    </row>
    <row r="330" spans="1:3">
      <c r="A330" s="17" t="s">
        <v>691</v>
      </c>
      <c r="B330" s="19" t="s">
        <v>1078</v>
      </c>
      <c r="C330" t="s">
        <v>1080</v>
      </c>
    </row>
    <row r="331" spans="1:3" ht="25.5">
      <c r="A331" s="17" t="s">
        <v>1079</v>
      </c>
      <c r="B331" s="19" t="s">
        <v>1082</v>
      </c>
      <c r="C331" t="s">
        <v>1081</v>
      </c>
    </row>
    <row r="332" spans="1:3">
      <c r="A332" s="17" t="s">
        <v>693</v>
      </c>
      <c r="B332" s="17" t="s">
        <v>738</v>
      </c>
      <c r="C332" t="s">
        <v>694</v>
      </c>
    </row>
    <row r="333" spans="1:3">
      <c r="A333" s="17" t="s">
        <v>695</v>
      </c>
      <c r="B333" s="19" t="s">
        <v>739</v>
      </c>
      <c r="C333" t="s">
        <v>696</v>
      </c>
    </row>
    <row r="334" spans="1:3">
      <c r="A334" s="17" t="s">
        <v>697</v>
      </c>
      <c r="B334" s="17" t="s">
        <v>740</v>
      </c>
      <c r="C334" t="s">
        <v>698</v>
      </c>
    </row>
    <row r="335" spans="1:3">
      <c r="A335" s="19" t="s">
        <v>699</v>
      </c>
      <c r="B335" s="19" t="s">
        <v>1083</v>
      </c>
      <c r="C335" t="s">
        <v>1085</v>
      </c>
    </row>
    <row r="336" spans="1:3">
      <c r="A336" s="19" t="s">
        <v>1087</v>
      </c>
      <c r="B336" s="19" t="s">
        <v>1084</v>
      </c>
      <c r="C336" t="s">
        <v>1086</v>
      </c>
    </row>
    <row r="337" spans="1:3">
      <c r="A337" s="19" t="s">
        <v>702</v>
      </c>
      <c r="B337" s="19" t="s">
        <v>1088</v>
      </c>
      <c r="C337" s="17" t="s">
        <v>1089</v>
      </c>
    </row>
    <row r="338" spans="1:3">
      <c r="A338" s="19" t="s">
        <v>703</v>
      </c>
      <c r="B338" s="19" t="s">
        <v>1090</v>
      </c>
      <c r="C338" s="17" t="s">
        <v>1091</v>
      </c>
    </row>
    <row r="339" spans="1:3">
      <c r="A339" s="17" t="s">
        <v>704</v>
      </c>
      <c r="B339" s="19" t="s">
        <v>1165</v>
      </c>
      <c r="C339" s="345" t="s">
        <v>1092</v>
      </c>
    </row>
    <row r="340" spans="1:3">
      <c r="A340" s="17" t="s">
        <v>1093</v>
      </c>
      <c r="B340" s="19" t="s">
        <v>1008</v>
      </c>
      <c r="C340" s="345" t="s">
        <v>1093</v>
      </c>
    </row>
    <row r="341" spans="1:3">
      <c r="A341" s="17" t="s">
        <v>705</v>
      </c>
      <c r="B341" s="346" t="s">
        <v>1094</v>
      </c>
      <c r="C341" t="s">
        <v>1095</v>
      </c>
    </row>
    <row r="342" spans="1:3">
      <c r="A342" s="17" t="s">
        <v>1097</v>
      </c>
      <c r="B342" s="346" t="s">
        <v>1008</v>
      </c>
      <c r="C342" t="s">
        <v>1096</v>
      </c>
    </row>
    <row r="343" spans="1:3">
      <c r="A343" s="17" t="s">
        <v>706</v>
      </c>
      <c r="B343" s="19" t="s">
        <v>741</v>
      </c>
      <c r="C343" t="s">
        <v>700</v>
      </c>
    </row>
    <row r="344" spans="1:3">
      <c r="A344" s="17" t="s">
        <v>707</v>
      </c>
      <c r="B344" s="19" t="s">
        <v>1098</v>
      </c>
      <c r="C344" t="s">
        <v>1101</v>
      </c>
    </row>
    <row r="345" spans="1:3">
      <c r="A345" s="17" t="s">
        <v>708</v>
      </c>
      <c r="B345" s="19" t="s">
        <v>1100</v>
      </c>
      <c r="C345" t="s">
        <v>1099</v>
      </c>
    </row>
    <row r="346" spans="1:3">
      <c r="A346" s="17" t="s">
        <v>709</v>
      </c>
      <c r="B346" s="19" t="s">
        <v>742</v>
      </c>
      <c r="C346" t="s">
        <v>701</v>
      </c>
    </row>
    <row r="347" spans="1:3">
      <c r="A347" s="17" t="s">
        <v>710</v>
      </c>
      <c r="B347" s="19" t="s">
        <v>710</v>
      </c>
      <c r="C347" t="s">
        <v>711</v>
      </c>
    </row>
    <row r="348" spans="1:3">
      <c r="A348" s="19" t="s">
        <v>712</v>
      </c>
      <c r="B348" s="19" t="s">
        <v>1102</v>
      </c>
      <c r="C348" s="17" t="s">
        <v>1103</v>
      </c>
    </row>
    <row r="349" spans="1:3" ht="25.5">
      <c r="A349" s="19" t="s">
        <v>1104</v>
      </c>
      <c r="B349" s="19" t="s">
        <v>1105</v>
      </c>
      <c r="C349" s="17" t="s">
        <v>1106</v>
      </c>
    </row>
    <row r="350" spans="1:3">
      <c r="A350" s="19" t="s">
        <v>713</v>
      </c>
      <c r="B350" s="19" t="s">
        <v>1107</v>
      </c>
      <c r="C350" s="17" t="s">
        <v>1108</v>
      </c>
    </row>
    <row r="351" spans="1:3">
      <c r="A351" s="19" t="s">
        <v>714</v>
      </c>
      <c r="B351" s="17" t="s">
        <v>1109</v>
      </c>
      <c r="C351" s="17" t="s">
        <v>1111</v>
      </c>
    </row>
    <row r="352" spans="1:3">
      <c r="A352" s="19" t="s">
        <v>1113</v>
      </c>
      <c r="B352" s="17" t="s">
        <v>1110</v>
      </c>
      <c r="C352" s="17" t="s">
        <v>1112</v>
      </c>
    </row>
    <row r="353" spans="1:3" ht="25.5">
      <c r="A353" s="17" t="s">
        <v>715</v>
      </c>
      <c r="B353" s="581" t="s">
        <v>1152</v>
      </c>
      <c r="C353" s="17" t="s">
        <v>1153</v>
      </c>
    </row>
    <row r="354" spans="1:3">
      <c r="A354" s="17" t="s">
        <v>727</v>
      </c>
      <c r="B354" s="19" t="s">
        <v>747</v>
      </c>
      <c r="C354" s="17" t="s">
        <v>735</v>
      </c>
    </row>
    <row r="355" spans="1:3">
      <c r="A355" s="19" t="s">
        <v>724</v>
      </c>
      <c r="B355" s="19" t="s">
        <v>1124</v>
      </c>
      <c r="C355" s="17" t="s">
        <v>1126</v>
      </c>
    </row>
    <row r="356" spans="1:3">
      <c r="A356" s="19" t="s">
        <v>1128</v>
      </c>
      <c r="B356" s="19" t="s">
        <v>1125</v>
      </c>
      <c r="C356" s="17" t="s">
        <v>1127</v>
      </c>
    </row>
    <row r="357" spans="1:3">
      <c r="A357" s="19" t="s">
        <v>725</v>
      </c>
      <c r="B357" s="19" t="s">
        <v>1129</v>
      </c>
      <c r="C357" s="17" t="s">
        <v>1131</v>
      </c>
    </row>
    <row r="358" spans="1:3">
      <c r="A358" s="19" t="s">
        <v>1133</v>
      </c>
      <c r="B358" s="19" t="s">
        <v>1130</v>
      </c>
      <c r="C358" s="17" t="s">
        <v>1132</v>
      </c>
    </row>
    <row r="359" spans="1:3">
      <c r="A359" s="17" t="s">
        <v>726</v>
      </c>
      <c r="B359" s="19" t="s">
        <v>1134</v>
      </c>
      <c r="C359" s="17" t="s">
        <v>1136</v>
      </c>
    </row>
    <row r="360" spans="1:3">
      <c r="A360" s="17" t="s">
        <v>1138</v>
      </c>
      <c r="B360" s="19" t="s">
        <v>1135</v>
      </c>
      <c r="C360" s="17" t="s">
        <v>1137</v>
      </c>
    </row>
    <row r="361" spans="1:3">
      <c r="A361" s="17" t="s">
        <v>719</v>
      </c>
      <c r="B361" s="19" t="s">
        <v>729</v>
      </c>
      <c r="C361" s="17" t="s">
        <v>728</v>
      </c>
    </row>
    <row r="362" spans="1:3">
      <c r="A362" s="17" t="s">
        <v>1154</v>
      </c>
      <c r="B362" s="19" t="s">
        <v>1156</v>
      </c>
      <c r="C362" s="17" t="s">
        <v>1155</v>
      </c>
    </row>
    <row r="363" spans="1:3">
      <c r="A363" s="17" t="s">
        <v>730</v>
      </c>
      <c r="B363" s="19" t="s">
        <v>104</v>
      </c>
      <c r="C363" s="17" t="s">
        <v>720</v>
      </c>
    </row>
    <row r="364" spans="1:3">
      <c r="A364" s="580" t="s">
        <v>722</v>
      </c>
      <c r="B364" s="77" t="s">
        <v>722</v>
      </c>
      <c r="C364" s="580" t="s">
        <v>721</v>
      </c>
    </row>
    <row r="365" spans="1:3">
      <c r="A365" s="17" t="s">
        <v>716</v>
      </c>
      <c r="B365" s="19" t="s">
        <v>743</v>
      </c>
      <c r="C365" s="17" t="s">
        <v>723</v>
      </c>
    </row>
    <row r="366" spans="1:3">
      <c r="A366" s="19" t="s">
        <v>717</v>
      </c>
      <c r="B366" s="19" t="s">
        <v>1114</v>
      </c>
      <c r="C366" s="17" t="s">
        <v>1116</v>
      </c>
    </row>
    <row r="367" spans="1:3">
      <c r="A367" s="19" t="s">
        <v>1118</v>
      </c>
      <c r="B367" s="19" t="s">
        <v>1115</v>
      </c>
      <c r="C367" s="17" t="s">
        <v>1117</v>
      </c>
    </row>
    <row r="368" spans="1:3">
      <c r="A368" s="347" t="s">
        <v>718</v>
      </c>
      <c r="B368" s="19" t="s">
        <v>1119</v>
      </c>
      <c r="C368" s="19" t="s">
        <v>1121</v>
      </c>
    </row>
    <row r="369" spans="1:3">
      <c r="A369" s="347" t="s">
        <v>1120</v>
      </c>
      <c r="B369" s="19" t="s">
        <v>1123</v>
      </c>
      <c r="C369" s="19" t="s">
        <v>1122</v>
      </c>
    </row>
    <row r="370" spans="1:3">
      <c r="A370" s="17" t="s">
        <v>733</v>
      </c>
      <c r="B370" s="19" t="s">
        <v>668</v>
      </c>
      <c r="C370" s="17" t="s">
        <v>731</v>
      </c>
    </row>
    <row r="371" spans="1:3">
      <c r="A371" s="17" t="s">
        <v>734</v>
      </c>
      <c r="B371" s="19" t="s">
        <v>670</v>
      </c>
      <c r="C371" s="17" t="s">
        <v>732</v>
      </c>
    </row>
    <row r="372" spans="1:3">
      <c r="A372" s="17" t="s">
        <v>750</v>
      </c>
      <c r="B372" s="65" t="s">
        <v>750</v>
      </c>
      <c r="C372" s="98" t="s">
        <v>791</v>
      </c>
    </row>
    <row r="373" spans="1:3">
      <c r="A373" s="17" t="s">
        <v>751</v>
      </c>
      <c r="B373" s="65" t="s">
        <v>751</v>
      </c>
      <c r="C373" s="98" t="s">
        <v>792</v>
      </c>
    </row>
    <row r="374" spans="1:3">
      <c r="A374" s="17" t="s">
        <v>752</v>
      </c>
      <c r="B374" s="65" t="s">
        <v>752</v>
      </c>
      <c r="C374" s="98" t="s">
        <v>793</v>
      </c>
    </row>
    <row r="375" spans="1:3">
      <c r="A375" s="17" t="s">
        <v>753</v>
      </c>
      <c r="B375" s="65" t="s">
        <v>753</v>
      </c>
      <c r="C375" s="98" t="s">
        <v>805</v>
      </c>
    </row>
    <row r="376" spans="1:3">
      <c r="A376" s="17" t="s">
        <v>754</v>
      </c>
      <c r="B376" s="65" t="s">
        <v>754</v>
      </c>
      <c r="C376" s="98" t="s">
        <v>794</v>
      </c>
    </row>
    <row r="377" spans="1:3">
      <c r="A377" s="17" t="s">
        <v>755</v>
      </c>
      <c r="B377" s="65" t="s">
        <v>755</v>
      </c>
      <c r="C377" s="98" t="s">
        <v>795</v>
      </c>
    </row>
    <row r="378" spans="1:3">
      <c r="A378" s="17" t="s">
        <v>756</v>
      </c>
      <c r="B378" s="65" t="s">
        <v>756</v>
      </c>
      <c r="C378" s="98" t="s">
        <v>796</v>
      </c>
    </row>
    <row r="379" spans="1:3">
      <c r="A379" s="17" t="s">
        <v>757</v>
      </c>
      <c r="B379" s="65" t="s">
        <v>757</v>
      </c>
      <c r="C379" s="98" t="s">
        <v>797</v>
      </c>
    </row>
    <row r="380" spans="1:3">
      <c r="A380" s="17" t="s">
        <v>768</v>
      </c>
      <c r="B380" s="65" t="s">
        <v>1006</v>
      </c>
      <c r="C380" s="98" t="s">
        <v>1005</v>
      </c>
    </row>
    <row r="381" spans="1:3">
      <c r="A381" s="17" t="s">
        <v>1007</v>
      </c>
      <c r="B381" s="65" t="s">
        <v>1008</v>
      </c>
      <c r="C381" s="98" t="s">
        <v>1007</v>
      </c>
    </row>
    <row r="382" spans="1:3">
      <c r="A382" s="17" t="s">
        <v>769</v>
      </c>
      <c r="B382" s="65" t="s">
        <v>1009</v>
      </c>
      <c r="C382" s="98" t="s">
        <v>1010</v>
      </c>
    </row>
    <row r="383" spans="1:3">
      <c r="A383" s="17" t="s">
        <v>770</v>
      </c>
      <c r="B383" s="65" t="s">
        <v>737</v>
      </c>
      <c r="C383" s="98" t="s">
        <v>684</v>
      </c>
    </row>
    <row r="384" spans="1:3">
      <c r="A384" s="17" t="s">
        <v>771</v>
      </c>
      <c r="B384" s="65" t="s">
        <v>1013</v>
      </c>
      <c r="C384" s="98" t="s">
        <v>1011</v>
      </c>
    </row>
    <row r="385" spans="1:3">
      <c r="A385" s="17" t="s">
        <v>1012</v>
      </c>
      <c r="B385" s="65" t="s">
        <v>1014</v>
      </c>
      <c r="C385" s="98" t="s">
        <v>1012</v>
      </c>
    </row>
    <row r="386" spans="1:3" ht="25.5">
      <c r="A386" s="19" t="s">
        <v>772</v>
      </c>
      <c r="B386" s="65" t="s">
        <v>1016</v>
      </c>
      <c r="C386" s="98" t="s">
        <v>1015</v>
      </c>
    </row>
    <row r="387" spans="1:3">
      <c r="A387" s="17" t="s">
        <v>773</v>
      </c>
      <c r="B387" s="65" t="s">
        <v>758</v>
      </c>
      <c r="C387" s="98" t="s">
        <v>798</v>
      </c>
    </row>
    <row r="388" spans="1:3">
      <c r="A388" s="17" t="s">
        <v>774</v>
      </c>
      <c r="B388" s="65" t="s">
        <v>1018</v>
      </c>
      <c r="C388" s="98" t="s">
        <v>243</v>
      </c>
    </row>
    <row r="389" spans="1:3">
      <c r="A389" s="17" t="s">
        <v>1020</v>
      </c>
      <c r="B389" s="65" t="s">
        <v>1019</v>
      </c>
      <c r="C389" s="98" t="s">
        <v>1017</v>
      </c>
    </row>
    <row r="390" spans="1:3">
      <c r="A390" s="17" t="s">
        <v>775</v>
      </c>
      <c r="B390" s="65" t="s">
        <v>1024</v>
      </c>
      <c r="C390" s="98" t="s">
        <v>1021</v>
      </c>
    </row>
    <row r="391" spans="1:3">
      <c r="A391" s="17" t="s">
        <v>1025</v>
      </c>
      <c r="B391" s="65" t="s">
        <v>1023</v>
      </c>
      <c r="C391" s="98" t="s">
        <v>1022</v>
      </c>
    </row>
    <row r="392" spans="1:3">
      <c r="A392" s="23" t="s">
        <v>776</v>
      </c>
      <c r="B392" s="65" t="s">
        <v>1028</v>
      </c>
      <c r="C392" s="98" t="s">
        <v>1026</v>
      </c>
    </row>
    <row r="393" spans="1:3">
      <c r="A393" s="23" t="s">
        <v>1030</v>
      </c>
      <c r="B393" s="65" t="s">
        <v>1029</v>
      </c>
      <c r="C393" s="98" t="s">
        <v>1027</v>
      </c>
    </row>
    <row r="394" spans="1:3">
      <c r="A394" s="17" t="s">
        <v>777</v>
      </c>
      <c r="B394" s="65" t="s">
        <v>1033</v>
      </c>
      <c r="C394" s="98" t="s">
        <v>1031</v>
      </c>
    </row>
    <row r="395" spans="1:3">
      <c r="A395" s="17" t="s">
        <v>1035</v>
      </c>
      <c r="B395" s="65" t="s">
        <v>1034</v>
      </c>
      <c r="C395" s="98" t="s">
        <v>1032</v>
      </c>
    </row>
    <row r="396" spans="1:3" ht="25.5">
      <c r="A396" s="19" t="s">
        <v>778</v>
      </c>
      <c r="B396" s="65" t="s">
        <v>1038</v>
      </c>
      <c r="C396" s="98" t="s">
        <v>1036</v>
      </c>
    </row>
    <row r="397" spans="1:3" ht="25.5">
      <c r="A397" s="19" t="s">
        <v>1040</v>
      </c>
      <c r="B397" s="65" t="s">
        <v>1039</v>
      </c>
      <c r="C397" s="98" t="s">
        <v>1037</v>
      </c>
    </row>
    <row r="398" spans="1:3">
      <c r="A398" s="17" t="s">
        <v>779</v>
      </c>
      <c r="B398" s="65" t="s">
        <v>1043</v>
      </c>
      <c r="C398" s="98" t="s">
        <v>1041</v>
      </c>
    </row>
    <row r="399" spans="1:3">
      <c r="A399" s="17" t="s">
        <v>1045</v>
      </c>
      <c r="B399" s="65" t="s">
        <v>1044</v>
      </c>
      <c r="C399" s="98" t="s">
        <v>1042</v>
      </c>
    </row>
    <row r="400" spans="1:3">
      <c r="A400" s="17" t="s">
        <v>780</v>
      </c>
      <c r="B400" s="65" t="s">
        <v>1048</v>
      </c>
      <c r="C400" s="98" t="s">
        <v>1046</v>
      </c>
    </row>
    <row r="401" spans="1:3">
      <c r="A401" s="17" t="s">
        <v>1049</v>
      </c>
      <c r="B401" s="65" t="s">
        <v>1049</v>
      </c>
      <c r="C401" s="98" t="s">
        <v>1047</v>
      </c>
    </row>
    <row r="402" spans="1:3">
      <c r="A402" s="17" t="s">
        <v>781</v>
      </c>
      <c r="B402" t="s">
        <v>1051</v>
      </c>
      <c r="C402" s="98" t="s">
        <v>1050</v>
      </c>
    </row>
    <row r="403" spans="1:3">
      <c r="A403" s="17" t="s">
        <v>782</v>
      </c>
      <c r="B403" s="65" t="s">
        <v>759</v>
      </c>
      <c r="C403" s="98" t="s">
        <v>799</v>
      </c>
    </row>
    <row r="404" spans="1:3">
      <c r="A404" s="17" t="s">
        <v>783</v>
      </c>
      <c r="B404" s="65" t="s">
        <v>1054</v>
      </c>
      <c r="C404" s="98" t="s">
        <v>1052</v>
      </c>
    </row>
    <row r="405" spans="1:3">
      <c r="A405" s="17" t="s">
        <v>1056</v>
      </c>
      <c r="B405" s="65" t="s">
        <v>1055</v>
      </c>
      <c r="C405" s="98" t="s">
        <v>1053</v>
      </c>
    </row>
    <row r="406" spans="1:3">
      <c r="A406" s="17" t="s">
        <v>784</v>
      </c>
      <c r="B406" s="65" t="s">
        <v>760</v>
      </c>
      <c r="C406" s="98" t="s">
        <v>800</v>
      </c>
    </row>
    <row r="407" spans="1:3">
      <c r="A407" s="17" t="s">
        <v>767</v>
      </c>
      <c r="B407" s="65" t="s">
        <v>1059</v>
      </c>
      <c r="C407" s="98" t="s">
        <v>1057</v>
      </c>
    </row>
    <row r="408" spans="1:3">
      <c r="A408" s="17" t="s">
        <v>1061</v>
      </c>
      <c r="B408" s="65" t="s">
        <v>1060</v>
      </c>
      <c r="C408" s="98" t="s">
        <v>1058</v>
      </c>
    </row>
    <row r="409" spans="1:3">
      <c r="A409" s="17" t="s">
        <v>766</v>
      </c>
      <c r="B409" s="65" t="s">
        <v>761</v>
      </c>
      <c r="C409" s="98" t="s">
        <v>801</v>
      </c>
    </row>
    <row r="410" spans="1:3">
      <c r="A410" s="17" t="s">
        <v>765</v>
      </c>
      <c r="B410" s="65" t="s">
        <v>762</v>
      </c>
      <c r="C410" s="98" t="s">
        <v>802</v>
      </c>
    </row>
    <row r="411" spans="1:3">
      <c r="A411" s="17" t="s">
        <v>764</v>
      </c>
      <c r="B411" s="65" t="s">
        <v>763</v>
      </c>
      <c r="C411" s="98" t="s">
        <v>803</v>
      </c>
    </row>
    <row r="412" spans="1:3">
      <c r="A412" s="17" t="s">
        <v>681</v>
      </c>
      <c r="B412" s="65" t="s">
        <v>681</v>
      </c>
      <c r="C412" s="98" t="s">
        <v>680</v>
      </c>
    </row>
    <row r="413" spans="1:3">
      <c r="A413" s="17" t="s">
        <v>787</v>
      </c>
      <c r="B413" s="65" t="s">
        <v>789</v>
      </c>
      <c r="C413" s="98" t="s">
        <v>788</v>
      </c>
    </row>
    <row r="414" spans="1:3">
      <c r="A414" s="304"/>
      <c r="B414" s="74" t="s">
        <v>809</v>
      </c>
      <c r="C414" s="74" t="s">
        <v>810</v>
      </c>
    </row>
    <row r="415" spans="1:3">
      <c r="B415" s="65" t="s">
        <v>92</v>
      </c>
      <c r="C415" s="98" t="s">
        <v>811</v>
      </c>
    </row>
    <row r="416" spans="1:3">
      <c r="A416" s="98" t="s">
        <v>812</v>
      </c>
      <c r="B416" s="65" t="s">
        <v>840</v>
      </c>
      <c r="C416" s="98" t="s">
        <v>813</v>
      </c>
    </row>
    <row r="417" spans="1:3">
      <c r="A417" s="98" t="s">
        <v>814</v>
      </c>
      <c r="B417" s="65" t="s">
        <v>832</v>
      </c>
      <c r="C417" s="98" t="s">
        <v>815</v>
      </c>
    </row>
    <row r="418" spans="1:3">
      <c r="A418" s="98" t="s">
        <v>816</v>
      </c>
      <c r="B418" s="65" t="s">
        <v>816</v>
      </c>
      <c r="C418" s="98" t="s">
        <v>817</v>
      </c>
    </row>
    <row r="419" spans="1:3">
      <c r="B419" s="65"/>
      <c r="C419" s="98"/>
    </row>
    <row r="420" spans="1:3">
      <c r="A420" s="98" t="s">
        <v>824</v>
      </c>
      <c r="B420" s="65" t="s">
        <v>831</v>
      </c>
      <c r="C420" s="98" t="s">
        <v>818</v>
      </c>
    </row>
    <row r="421" spans="1:3">
      <c r="A421" s="98" t="s">
        <v>825</v>
      </c>
      <c r="B421" s="65" t="s">
        <v>830</v>
      </c>
      <c r="C421" s="98" t="s">
        <v>841</v>
      </c>
    </row>
    <row r="422" spans="1:3">
      <c r="A422" s="98" t="s">
        <v>819</v>
      </c>
      <c r="B422" s="65" t="s">
        <v>819</v>
      </c>
      <c r="C422" s="98" t="s">
        <v>820</v>
      </c>
    </row>
    <row r="423" spans="1:3">
      <c r="B423" s="65" t="s">
        <v>821</v>
      </c>
      <c r="C423" s="98" t="s">
        <v>822</v>
      </c>
    </row>
    <row r="424" spans="1:3">
      <c r="A424" s="98" t="s">
        <v>826</v>
      </c>
      <c r="B424" s="65" t="s">
        <v>826</v>
      </c>
      <c r="C424" s="98" t="s">
        <v>826</v>
      </c>
    </row>
    <row r="425" spans="1:3">
      <c r="A425" s="98" t="s">
        <v>827</v>
      </c>
      <c r="B425" s="65" t="s">
        <v>823</v>
      </c>
      <c r="C425" s="98" t="s">
        <v>823</v>
      </c>
    </row>
    <row r="426" spans="1:3">
      <c r="A426" s="98" t="s">
        <v>828</v>
      </c>
      <c r="B426" s="65" t="s">
        <v>106</v>
      </c>
      <c r="C426" s="98" t="s">
        <v>829</v>
      </c>
    </row>
    <row r="427" spans="1:3">
      <c r="A427" s="98" t="s">
        <v>833</v>
      </c>
      <c r="B427" s="65" t="s">
        <v>833</v>
      </c>
      <c r="C427" s="98" t="s">
        <v>834</v>
      </c>
    </row>
    <row r="428" spans="1:3">
      <c r="A428" s="98" t="s">
        <v>835</v>
      </c>
      <c r="B428" s="65" t="s">
        <v>838</v>
      </c>
      <c r="C428" s="98" t="s">
        <v>839</v>
      </c>
    </row>
    <row r="429" spans="1:3">
      <c r="A429" s="98" t="s">
        <v>836</v>
      </c>
      <c r="B429" s="65" t="s">
        <v>837</v>
      </c>
      <c r="C429" s="98" t="s">
        <v>1004</v>
      </c>
    </row>
    <row r="430" spans="1:3">
      <c r="A430" s="74" t="s">
        <v>1149</v>
      </c>
      <c r="B430" s="304" t="s">
        <v>1146</v>
      </c>
      <c r="C430" s="304" t="s">
        <v>1151</v>
      </c>
    </row>
    <row r="431" spans="1:3">
      <c r="A431" s="98" t="s">
        <v>1150</v>
      </c>
      <c r="B431" s="65" t="s">
        <v>1148</v>
      </c>
      <c r="C431" s="98" t="s">
        <v>1147</v>
      </c>
    </row>
    <row r="432" spans="1:3">
      <c r="A432" s="98" t="s">
        <v>846</v>
      </c>
      <c r="B432" s="65" t="s">
        <v>847</v>
      </c>
      <c r="C432" s="98" t="s">
        <v>848</v>
      </c>
    </row>
    <row r="433" spans="1:3">
      <c r="A433" s="98" t="s">
        <v>849</v>
      </c>
      <c r="B433" s="65" t="s">
        <v>850</v>
      </c>
      <c r="C433" s="98" t="s">
        <v>1411</v>
      </c>
    </row>
    <row r="434" spans="1:3">
      <c r="A434" s="98" t="s">
        <v>851</v>
      </c>
      <c r="B434" s="65" t="s">
        <v>476</v>
      </c>
      <c r="C434" s="98" t="s">
        <v>267</v>
      </c>
    </row>
    <row r="435" spans="1:3">
      <c r="A435" s="98" t="s">
        <v>852</v>
      </c>
      <c r="B435" s="65" t="s">
        <v>853</v>
      </c>
      <c r="C435" s="98" t="s">
        <v>854</v>
      </c>
    </row>
    <row r="436" spans="1:3" ht="25.5">
      <c r="A436" s="17" t="s">
        <v>855</v>
      </c>
      <c r="B436" s="399" t="s">
        <v>1401</v>
      </c>
      <c r="C436" s="17" t="s">
        <v>1403</v>
      </c>
    </row>
    <row r="437" spans="1:3">
      <c r="A437" s="401" t="s">
        <v>856</v>
      </c>
      <c r="B437" s="400" t="s">
        <v>1402</v>
      </c>
      <c r="C437" s="17" t="s">
        <v>1404</v>
      </c>
    </row>
    <row r="438" spans="1:3" ht="25.5">
      <c r="A438" s="17" t="s">
        <v>857</v>
      </c>
      <c r="B438" s="17" t="s">
        <v>1406</v>
      </c>
      <c r="C438" s="17" t="s">
        <v>1405</v>
      </c>
    </row>
    <row r="439" spans="1:3">
      <c r="A439" s="17" t="s">
        <v>858</v>
      </c>
      <c r="B439" t="s">
        <v>859</v>
      </c>
      <c r="C439" s="17" t="s">
        <v>860</v>
      </c>
    </row>
    <row r="440" spans="1:3">
      <c r="A440" s="17" t="s">
        <v>861</v>
      </c>
      <c r="B440" t="s">
        <v>862</v>
      </c>
      <c r="C440" s="17" t="s">
        <v>863</v>
      </c>
    </row>
    <row r="441" spans="1:3" ht="25.5">
      <c r="A441" s="17" t="s">
        <v>864</v>
      </c>
      <c r="B441" s="17" t="s">
        <v>865</v>
      </c>
      <c r="C441" s="17" t="s">
        <v>866</v>
      </c>
    </row>
    <row r="442" spans="1:3" ht="25.5">
      <c r="A442" s="17" t="s">
        <v>867</v>
      </c>
      <c r="B442" s="17" t="s">
        <v>868</v>
      </c>
      <c r="C442" s="17" t="s">
        <v>869</v>
      </c>
    </row>
    <row r="443" spans="1:3">
      <c r="A443" s="17" t="s">
        <v>870</v>
      </c>
      <c r="B443" t="s">
        <v>871</v>
      </c>
      <c r="C443" s="17" t="s">
        <v>872</v>
      </c>
    </row>
    <row r="444" spans="1:3">
      <c r="A444" s="17" t="s">
        <v>873</v>
      </c>
      <c r="B444" t="s">
        <v>874</v>
      </c>
      <c r="C444" s="17" t="s">
        <v>875</v>
      </c>
    </row>
    <row r="445" spans="1:3">
      <c r="A445" s="17" t="s">
        <v>878</v>
      </c>
      <c r="B445" t="s">
        <v>876</v>
      </c>
      <c r="C445" s="17" t="s">
        <v>877</v>
      </c>
    </row>
    <row r="446" spans="1:3">
      <c r="A446" s="17" t="s">
        <v>879</v>
      </c>
      <c r="B446" t="s">
        <v>880</v>
      </c>
      <c r="C446" s="17" t="s">
        <v>881</v>
      </c>
    </row>
    <row r="447" spans="1:3">
      <c r="A447" s="17" t="s">
        <v>1395</v>
      </c>
      <c r="B447" t="s">
        <v>1394</v>
      </c>
      <c r="C447" s="17" t="s">
        <v>1393</v>
      </c>
    </row>
    <row r="448" spans="1:3" ht="25.5">
      <c r="A448" s="17" t="s">
        <v>1396</v>
      </c>
      <c r="B448" s="17" t="s">
        <v>1400</v>
      </c>
      <c r="C448" s="17" t="s">
        <v>1412</v>
      </c>
    </row>
    <row r="449" spans="1:3">
      <c r="A449" s="17"/>
      <c r="C449" s="17"/>
    </row>
    <row r="450" spans="1:3">
      <c r="A450" s="17" t="s">
        <v>882</v>
      </c>
      <c r="B450" t="s">
        <v>883</v>
      </c>
      <c r="C450" s="17" t="s">
        <v>884</v>
      </c>
    </row>
    <row r="451" spans="1:3">
      <c r="A451" s="17" t="s">
        <v>885</v>
      </c>
      <c r="B451" t="s">
        <v>886</v>
      </c>
      <c r="C451" s="17" t="s">
        <v>885</v>
      </c>
    </row>
    <row r="452" spans="1:3">
      <c r="A452" s="17" t="s">
        <v>887</v>
      </c>
      <c r="B452" t="s">
        <v>888</v>
      </c>
      <c r="C452" s="17" t="s">
        <v>887</v>
      </c>
    </row>
    <row r="453" spans="1:3">
      <c r="A453" s="17" t="s">
        <v>889</v>
      </c>
      <c r="B453" t="s">
        <v>890</v>
      </c>
      <c r="C453" s="17" t="s">
        <v>889</v>
      </c>
    </row>
    <row r="454" spans="1:3">
      <c r="A454" s="17" t="s">
        <v>891</v>
      </c>
      <c r="B454" t="s">
        <v>892</v>
      </c>
      <c r="C454" s="17" t="s">
        <v>891</v>
      </c>
    </row>
    <row r="455" spans="1:3">
      <c r="A455" s="17" t="s">
        <v>893</v>
      </c>
      <c r="B455" t="s">
        <v>894</v>
      </c>
      <c r="C455" s="17" t="s">
        <v>893</v>
      </c>
    </row>
    <row r="456" spans="1:3">
      <c r="A456" s="17" t="s">
        <v>895</v>
      </c>
      <c r="B456" t="s">
        <v>896</v>
      </c>
      <c r="C456" s="17" t="s">
        <v>897</v>
      </c>
    </row>
    <row r="457" spans="1:3">
      <c r="A457" s="17" t="s">
        <v>900</v>
      </c>
      <c r="B457" t="s">
        <v>898</v>
      </c>
      <c r="C457" s="17" t="s">
        <v>899</v>
      </c>
    </row>
    <row r="458" spans="1:3">
      <c r="A458" s="17" t="s">
        <v>901</v>
      </c>
      <c r="B458" t="s">
        <v>902</v>
      </c>
      <c r="C458" s="17" t="s">
        <v>903</v>
      </c>
    </row>
    <row r="459" spans="1:3">
      <c r="A459" s="17" t="s">
        <v>904</v>
      </c>
      <c r="B459" t="s">
        <v>905</v>
      </c>
      <c r="C459" s="17" t="s">
        <v>906</v>
      </c>
    </row>
    <row r="460" spans="1:3">
      <c r="A460" s="17" t="s">
        <v>907</v>
      </c>
      <c r="B460" t="s">
        <v>908</v>
      </c>
      <c r="C460" s="17" t="s">
        <v>909</v>
      </c>
    </row>
    <row r="461" spans="1:3">
      <c r="A461" s="17" t="s">
        <v>910</v>
      </c>
      <c r="B461" t="s">
        <v>911</v>
      </c>
      <c r="C461" s="17" t="s">
        <v>912</v>
      </c>
    </row>
    <row r="462" spans="1:3">
      <c r="A462" s="17" t="s">
        <v>921</v>
      </c>
      <c r="B462" t="s">
        <v>913</v>
      </c>
      <c r="C462" s="17" t="s">
        <v>914</v>
      </c>
    </row>
    <row r="463" spans="1:3">
      <c r="A463" s="17" t="s">
        <v>915</v>
      </c>
      <c r="B463" t="s">
        <v>916</v>
      </c>
      <c r="C463" s="17" t="s">
        <v>917</v>
      </c>
    </row>
    <row r="464" spans="1:3">
      <c r="A464" s="17" t="s">
        <v>918</v>
      </c>
      <c r="B464" t="s">
        <v>919</v>
      </c>
      <c r="C464" s="17" t="s">
        <v>920</v>
      </c>
    </row>
    <row r="465" spans="1:3">
      <c r="A465" s="17" t="s">
        <v>922</v>
      </c>
      <c r="B465" t="s">
        <v>923</v>
      </c>
      <c r="C465" s="17" t="s">
        <v>924</v>
      </c>
    </row>
    <row r="466" spans="1:3">
      <c r="A466" s="17" t="s">
        <v>925</v>
      </c>
      <c r="B466" t="s">
        <v>926</v>
      </c>
      <c r="C466" s="17" t="s">
        <v>927</v>
      </c>
    </row>
    <row r="467" spans="1:3">
      <c r="A467" s="17" t="s">
        <v>928</v>
      </c>
      <c r="B467" t="s">
        <v>929</v>
      </c>
      <c r="C467" s="17" t="s">
        <v>930</v>
      </c>
    </row>
    <row r="468" spans="1:3">
      <c r="A468" s="17" t="s">
        <v>931</v>
      </c>
      <c r="B468" t="s">
        <v>932</v>
      </c>
      <c r="C468" s="17" t="s">
        <v>933</v>
      </c>
    </row>
    <row r="469" spans="1:3">
      <c r="A469" s="17" t="s">
        <v>935</v>
      </c>
      <c r="B469" t="s">
        <v>934</v>
      </c>
      <c r="C469" s="17" t="s">
        <v>936</v>
      </c>
    </row>
    <row r="470" spans="1:3">
      <c r="A470" s="17" t="s">
        <v>937</v>
      </c>
      <c r="B470" t="s">
        <v>938</v>
      </c>
      <c r="C470" s="17" t="s">
        <v>939</v>
      </c>
    </row>
    <row r="471" spans="1:3">
      <c r="A471" s="17" t="s">
        <v>940</v>
      </c>
      <c r="B471" t="s">
        <v>941</v>
      </c>
      <c r="C471" s="17" t="s">
        <v>942</v>
      </c>
    </row>
    <row r="472" spans="1:3">
      <c r="A472" s="17" t="s">
        <v>943</v>
      </c>
      <c r="B472" t="s">
        <v>944</v>
      </c>
      <c r="C472" s="17" t="s">
        <v>943</v>
      </c>
    </row>
    <row r="473" spans="1:3" ht="25.5">
      <c r="A473" s="17" t="s">
        <v>945</v>
      </c>
      <c r="B473" s="17" t="s">
        <v>946</v>
      </c>
      <c r="C473" s="17" t="s">
        <v>947</v>
      </c>
    </row>
    <row r="474" spans="1:3" ht="25.5">
      <c r="A474" s="17" t="s">
        <v>948</v>
      </c>
      <c r="B474" s="17" t="s">
        <v>949</v>
      </c>
      <c r="C474" s="17" t="s">
        <v>950</v>
      </c>
    </row>
    <row r="475" spans="1:3">
      <c r="A475" s="17" t="s">
        <v>1408</v>
      </c>
      <c r="B475" t="s">
        <v>1410</v>
      </c>
      <c r="C475" s="17" t="s">
        <v>1409</v>
      </c>
    </row>
    <row r="476" spans="1:3" ht="25.5">
      <c r="A476" s="17" t="s">
        <v>951</v>
      </c>
      <c r="B476" t="s">
        <v>952</v>
      </c>
      <c r="C476" s="17" t="s">
        <v>953</v>
      </c>
    </row>
    <row r="477" spans="1:3">
      <c r="A477" s="17" t="s">
        <v>954</v>
      </c>
      <c r="B477" t="s">
        <v>955</v>
      </c>
      <c r="C477" s="17" t="s">
        <v>956</v>
      </c>
    </row>
    <row r="478" spans="1:3">
      <c r="A478" s="17" t="s">
        <v>957</v>
      </c>
      <c r="B478" t="s">
        <v>958</v>
      </c>
      <c r="C478" s="17" t="s">
        <v>959</v>
      </c>
    </row>
    <row r="479" spans="1:3">
      <c r="A479" s="17" t="s">
        <v>960</v>
      </c>
      <c r="B479" t="s">
        <v>961</v>
      </c>
      <c r="C479" s="17" t="s">
        <v>962</v>
      </c>
    </row>
    <row r="480" spans="1:3">
      <c r="A480" s="17" t="s">
        <v>963</v>
      </c>
      <c r="B480" t="s">
        <v>964</v>
      </c>
      <c r="C480" s="17" t="s">
        <v>965</v>
      </c>
    </row>
    <row r="481" spans="1:3">
      <c r="A481" s="17" t="s">
        <v>966</v>
      </c>
      <c r="B481" t="s">
        <v>967</v>
      </c>
      <c r="C481" s="17" t="s">
        <v>968</v>
      </c>
    </row>
    <row r="482" spans="1:3">
      <c r="A482" s="17" t="s">
        <v>969</v>
      </c>
      <c r="B482" t="s">
        <v>970</v>
      </c>
      <c r="C482" s="17" t="s">
        <v>971</v>
      </c>
    </row>
    <row r="483" spans="1:3">
      <c r="A483" s="17" t="s">
        <v>972</v>
      </c>
      <c r="B483" t="s">
        <v>973</v>
      </c>
      <c r="C483" s="17" t="s">
        <v>972</v>
      </c>
    </row>
    <row r="484" spans="1:3">
      <c r="A484" s="17" t="s">
        <v>974</v>
      </c>
      <c r="B484" t="s">
        <v>975</v>
      </c>
      <c r="C484" s="17" t="s">
        <v>974</v>
      </c>
    </row>
    <row r="485" spans="1:3">
      <c r="A485" s="17" t="s">
        <v>976</v>
      </c>
      <c r="B485" t="s">
        <v>977</v>
      </c>
      <c r="C485" s="17" t="s">
        <v>976</v>
      </c>
    </row>
    <row r="486" spans="1:3">
      <c r="A486" s="17" t="s">
        <v>1139</v>
      </c>
      <c r="B486" t="s">
        <v>1407</v>
      </c>
      <c r="C486" s="17" t="s">
        <v>1139</v>
      </c>
    </row>
    <row r="487" spans="1:3">
      <c r="A487" s="17" t="s">
        <v>1144</v>
      </c>
      <c r="B487" t="s">
        <v>1140</v>
      </c>
      <c r="C487" s="17" t="s">
        <v>1145</v>
      </c>
    </row>
    <row r="488" spans="1:3">
      <c r="A488" s="17" t="s">
        <v>978</v>
      </c>
      <c r="B488" t="s">
        <v>979</v>
      </c>
      <c r="C488" s="17" t="s">
        <v>978</v>
      </c>
    </row>
    <row r="489" spans="1:3">
      <c r="A489" s="17" t="s">
        <v>980</v>
      </c>
      <c r="B489" t="s">
        <v>981</v>
      </c>
      <c r="C489" s="17" t="s">
        <v>982</v>
      </c>
    </row>
    <row r="490" spans="1:3">
      <c r="A490" s="17" t="s">
        <v>983</v>
      </c>
      <c r="B490" t="s">
        <v>984</v>
      </c>
      <c r="C490" s="17" t="s">
        <v>985</v>
      </c>
    </row>
    <row r="491" spans="1:3">
      <c r="A491" s="17" t="s">
        <v>986</v>
      </c>
      <c r="B491" t="s">
        <v>987</v>
      </c>
      <c r="C491" s="17" t="s">
        <v>988</v>
      </c>
    </row>
    <row r="492" spans="1:3">
      <c r="A492" s="17" t="s">
        <v>989</v>
      </c>
      <c r="B492" t="s">
        <v>990</v>
      </c>
      <c r="C492" s="17" t="s">
        <v>991</v>
      </c>
    </row>
    <row r="493" spans="1:3">
      <c r="A493" s="17" t="s">
        <v>992</v>
      </c>
      <c r="B493" t="s">
        <v>1162</v>
      </c>
      <c r="C493" s="17" t="s">
        <v>1161</v>
      </c>
    </row>
    <row r="494" spans="1:3">
      <c r="A494" s="17" t="s">
        <v>993</v>
      </c>
      <c r="B494" t="s">
        <v>994</v>
      </c>
      <c r="C494" s="17" t="s">
        <v>993</v>
      </c>
    </row>
    <row r="495" spans="1:3">
      <c r="A495" s="17" t="s">
        <v>995</v>
      </c>
      <c r="B495" t="s">
        <v>996</v>
      </c>
      <c r="C495" s="17" t="s">
        <v>995</v>
      </c>
    </row>
    <row r="496" spans="1:3">
      <c r="A496" s="17" t="s">
        <v>997</v>
      </c>
      <c r="B496" t="s">
        <v>998</v>
      </c>
      <c r="C496" s="17" t="s">
        <v>997</v>
      </c>
    </row>
    <row r="497" spans="1:3">
      <c r="A497" s="17" t="s">
        <v>999</v>
      </c>
      <c r="B497" t="s">
        <v>1000</v>
      </c>
      <c r="C497" s="17" t="s">
        <v>999</v>
      </c>
    </row>
    <row r="498" spans="1:3" ht="140.25">
      <c r="A498" s="580" t="s">
        <v>1141</v>
      </c>
      <c r="B498" s="580" t="s">
        <v>1142</v>
      </c>
      <c r="C498" s="580" t="s">
        <v>1143</v>
      </c>
    </row>
    <row r="499" spans="1:3">
      <c r="A499" s="623" t="s">
        <v>1164</v>
      </c>
      <c r="B499" s="74" t="s">
        <v>92</v>
      </c>
      <c r="C499" s="623" t="s">
        <v>1163</v>
      </c>
    </row>
    <row r="500" spans="1:3">
      <c r="A500" s="98"/>
      <c r="B500" s="18"/>
      <c r="C500" s="98"/>
    </row>
  </sheetData>
  <sheetProtection algorithmName="SHA-512" hashValue="kiGKjNz7P/HSBWI9W3I0NduPWDnwZlWIp1Qo35itLNltJQgl24twvn3kzr2ChOwNzhui/sPsnRb3dMMxLnhdhA==" saltValue="TURY89eOcQhiYkGFa1b1kQ==" spinCount="100000" sheet="1" objects="1" scenarios="1" selectLockedCells="1" selectUnlockedCells="1"/>
  <printOptions horizontalCentered="1"/>
  <pageMargins left="0.6692913385826772" right="0.47244094488188981" top="0.59055118110236227" bottom="0.31496062992125984" header="0.31496062992125984" footer="0.19685039370078741"/>
  <pageSetup paperSize="9" scale="10" orientation="landscape" r:id="rId1"/>
  <headerFooter>
    <oddHeader>&amp;R&amp;G</oddHeader>
    <oddFooter>&amp;LMHG-PU-F-0019&amp;CPPA-Template ; Rev.: 04/2016&amp;RJ.-U. Liedtke / AO-PU-SQ</oddFooter>
  </headerFooter>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
    <pageSetUpPr fitToPage="1"/>
  </sheetPr>
  <dimension ref="B1:EH202"/>
  <sheetViews>
    <sheetView showGridLines="0" zoomScaleNormal="100" workbookViewId="0">
      <selection activeCell="DR19" sqref="DR19"/>
    </sheetView>
  </sheetViews>
  <sheetFormatPr baseColWidth="10" defaultColWidth="9.140625" defaultRowHeight="12.75"/>
  <cols>
    <col min="1" max="2" width="0.5703125" style="24" customWidth="1"/>
    <col min="3" max="3" width="2.140625" style="24" customWidth="1"/>
    <col min="4" max="4" width="0.5703125" style="24" customWidth="1"/>
    <col min="5" max="7" width="9.140625" style="24"/>
    <col min="8" max="8" width="3.85546875" style="24" customWidth="1"/>
    <col min="9" max="9" width="5.42578125" style="24" customWidth="1"/>
    <col min="10" max="10" width="0.5703125" style="24" customWidth="1"/>
    <col min="11" max="11" width="2.140625" style="24" customWidth="1"/>
    <col min="12" max="12" width="0.5703125" style="24" customWidth="1"/>
    <col min="13" max="13" width="10.28515625" style="24" customWidth="1"/>
    <col min="14" max="14" width="3.7109375" style="24" customWidth="1"/>
    <col min="15" max="15" width="2.140625" style="24" customWidth="1"/>
    <col min="16" max="17" width="3.7109375" style="24" customWidth="1"/>
    <col min="18" max="18" width="2.140625" style="24" customWidth="1"/>
    <col min="19" max="20" width="3.7109375" style="24" customWidth="1"/>
    <col min="21" max="21" width="2.140625" style="24" customWidth="1"/>
    <col min="22" max="22" width="3.7109375" style="24" customWidth="1"/>
    <col min="23" max="23" width="0.28515625" style="24" customWidth="1"/>
    <col min="24" max="24" width="0.5703125" style="24" customWidth="1"/>
    <col min="25" max="25" width="2.140625" style="24" customWidth="1"/>
    <col min="26" max="26" width="0.5703125" style="24" customWidth="1"/>
    <col min="27" max="27" width="0.28515625" style="24" customWidth="1"/>
    <col min="28" max="28" width="2.140625" style="24" customWidth="1"/>
    <col min="29" max="30" width="0.28515625" style="24" customWidth="1"/>
    <col min="31" max="31" width="2.140625" style="24" customWidth="1"/>
    <col min="32" max="33" width="0.28515625" style="24" customWidth="1"/>
    <col min="34" max="34" width="2" style="24" customWidth="1"/>
    <col min="35" max="36" width="0.28515625" style="24" customWidth="1"/>
    <col min="37" max="37" width="2.140625" style="24" customWidth="1"/>
    <col min="38" max="39" width="0.28515625" style="24" customWidth="1"/>
    <col min="40" max="40" width="2.140625" style="24" customWidth="1"/>
    <col min="41" max="42" width="0.28515625" style="24" customWidth="1"/>
    <col min="43" max="43" width="2.140625" style="24" customWidth="1"/>
    <col min="44" max="45" width="0.28515625" style="24" customWidth="1"/>
    <col min="46" max="46" width="2.140625" style="24" customWidth="1"/>
    <col min="47" max="48" width="0.28515625" style="24" customWidth="1"/>
    <col min="49" max="49" width="2.140625" style="24" customWidth="1"/>
    <col min="50" max="51" width="0.28515625" style="24" customWidth="1"/>
    <col min="52" max="52" width="2.140625" style="24" customWidth="1"/>
    <col min="53" max="54" width="0.28515625" style="24" customWidth="1"/>
    <col min="55" max="55" width="2.140625" style="24" customWidth="1"/>
    <col min="56" max="57" width="0.28515625" style="24" customWidth="1"/>
    <col min="58" max="58" width="2.140625" style="24" customWidth="1"/>
    <col min="59" max="60" width="0.28515625" style="24" customWidth="1"/>
    <col min="61" max="61" width="2.140625" style="24" customWidth="1"/>
    <col min="62" max="63" width="0.28515625" style="24" customWidth="1"/>
    <col min="64" max="64" width="2.140625" style="24" customWidth="1"/>
    <col min="65" max="66" width="0.28515625" style="24" customWidth="1"/>
    <col min="67" max="67" width="2.140625" style="24" customWidth="1"/>
    <col min="68" max="68" width="0.28515625" style="24" customWidth="1"/>
    <col min="69" max="69" width="0.5703125" style="24" customWidth="1"/>
    <col min="70" max="70" width="2.140625" style="24" customWidth="1"/>
    <col min="71" max="71" width="0.5703125" style="24" customWidth="1"/>
    <col min="72" max="72" width="0.28515625" style="24" customWidth="1"/>
    <col min="73" max="73" width="2.28515625" style="24" customWidth="1"/>
    <col min="74" max="75" width="0.28515625" style="24" customWidth="1"/>
    <col min="76" max="76" width="2.140625" style="24" customWidth="1"/>
    <col min="77" max="78" width="0.28515625" style="24" customWidth="1"/>
    <col min="79" max="79" width="2.140625" style="24" customWidth="1"/>
    <col min="80" max="81" width="0.28515625" style="24" customWidth="1"/>
    <col min="82" max="82" width="2.140625" style="24" customWidth="1"/>
    <col min="83" max="84" width="0.28515625" style="24" customWidth="1"/>
    <col min="85" max="85" width="2.140625" style="24" customWidth="1"/>
    <col min="86" max="87" width="0.28515625" style="24" customWidth="1"/>
    <col min="88" max="88" width="2.140625" style="24" customWidth="1"/>
    <col min="89" max="90" width="0.28515625" style="24" customWidth="1"/>
    <col min="91" max="91" width="2.140625" style="24" customWidth="1"/>
    <col min="92" max="93" width="0.28515625" style="24" customWidth="1"/>
    <col min="94" max="94" width="2.140625" style="24" customWidth="1"/>
    <col min="95" max="96" width="0.28515625" style="24" customWidth="1"/>
    <col min="97" max="97" width="2.140625" style="24" customWidth="1"/>
    <col min="98" max="99" width="0.28515625" style="24" customWidth="1"/>
    <col min="100" max="100" width="2.140625" style="24" customWidth="1"/>
    <col min="101" max="102" width="0.28515625" style="24" customWidth="1"/>
    <col min="103" max="103" width="2.140625" style="24" customWidth="1"/>
    <col min="104" max="105" width="0.28515625" style="24" customWidth="1"/>
    <col min="106" max="106" width="2.140625" style="24" customWidth="1"/>
    <col min="107" max="108" width="0.28515625" style="24" customWidth="1"/>
    <col min="109" max="109" width="2.140625" style="24" customWidth="1"/>
    <col min="110" max="111" width="0.28515625" style="24" customWidth="1"/>
    <col min="112" max="112" width="2.140625" style="24" customWidth="1"/>
    <col min="113" max="114" width="0.28515625" style="24" customWidth="1"/>
    <col min="115" max="115" width="2.140625" style="24" customWidth="1"/>
    <col min="116" max="117" width="0.28515625" style="24" customWidth="1"/>
    <col min="118" max="118" width="2.140625" style="24" customWidth="1"/>
    <col min="119" max="119" width="0.42578125" style="24" customWidth="1"/>
    <col min="120" max="120" width="3.28515625" style="24" customWidth="1"/>
    <col min="121" max="121" width="7.42578125" style="25" customWidth="1"/>
    <col min="122" max="122" width="12.140625" style="26" customWidth="1"/>
    <col min="123" max="123" width="13.7109375" style="26" customWidth="1"/>
    <col min="124" max="128" width="11.42578125" style="26" customWidth="1"/>
    <col min="129" max="16384" width="9.140625" style="24"/>
  </cols>
  <sheetData>
    <row r="1" spans="2:138" ht="35.1" customHeight="1">
      <c r="B1" s="777" t="str">
        <f>VLOOKUP("ppfppa",Translations!$A:$T,MATCH(DR19,Translations!A2:P2,0),0)</f>
        <v>PPA report</v>
      </c>
      <c r="C1" s="777"/>
      <c r="D1" s="777"/>
      <c r="E1" s="777"/>
      <c r="F1" s="777"/>
      <c r="G1" s="777"/>
      <c r="H1" s="777"/>
      <c r="I1" s="777"/>
      <c r="J1" s="777"/>
      <c r="K1" s="777"/>
      <c r="L1" s="777"/>
      <c r="M1" s="777"/>
      <c r="N1" s="777"/>
      <c r="O1" s="777"/>
      <c r="P1" s="777"/>
      <c r="Q1" s="777"/>
      <c r="R1" s="777"/>
      <c r="S1" s="777"/>
      <c r="T1" s="777"/>
      <c r="U1" s="777"/>
      <c r="V1" s="777"/>
      <c r="W1" s="777"/>
      <c r="X1" s="777"/>
      <c r="Y1" s="777"/>
      <c r="Z1" s="777"/>
      <c r="AA1" s="777"/>
      <c r="AB1" s="777"/>
      <c r="AC1" s="777"/>
      <c r="AD1" s="777"/>
      <c r="AE1" s="777"/>
      <c r="AF1" s="777"/>
      <c r="AG1" s="777"/>
      <c r="AH1" s="777"/>
      <c r="AI1" s="777"/>
      <c r="AJ1" s="777"/>
      <c r="AK1" s="777"/>
      <c r="AL1" s="777"/>
      <c r="AM1" s="777"/>
      <c r="AN1" s="777"/>
      <c r="AO1" s="777"/>
      <c r="AP1" s="777"/>
      <c r="AQ1" s="777"/>
      <c r="AR1" s="777"/>
      <c r="AS1" s="777"/>
      <c r="AT1" s="777"/>
      <c r="AU1" s="777"/>
      <c r="AV1" s="777"/>
      <c r="AW1" s="777"/>
      <c r="AX1" s="777"/>
      <c r="AY1" s="777"/>
      <c r="AZ1" s="777"/>
      <c r="BA1" s="777"/>
      <c r="BB1" s="777"/>
      <c r="BC1" s="777"/>
      <c r="BD1" s="777"/>
      <c r="BE1" s="777"/>
      <c r="BF1" s="777"/>
      <c r="BG1" s="777"/>
      <c r="BH1" s="777"/>
      <c r="BI1" s="777"/>
      <c r="BJ1" s="777"/>
      <c r="BK1" s="777"/>
      <c r="BL1" s="777"/>
      <c r="BM1" s="777"/>
      <c r="BN1" s="777"/>
      <c r="BO1" s="777"/>
      <c r="BP1" s="777"/>
      <c r="BQ1" s="777"/>
      <c r="BR1" s="777"/>
      <c r="BS1" s="777"/>
      <c r="BT1" s="777"/>
      <c r="BU1" s="777"/>
      <c r="BV1" s="777"/>
      <c r="BW1" s="777"/>
      <c r="BX1" s="777"/>
      <c r="BY1" s="777"/>
      <c r="BZ1" s="777"/>
      <c r="CA1" s="777"/>
      <c r="CB1" s="777"/>
      <c r="CC1" s="777"/>
      <c r="CD1" s="777"/>
      <c r="CE1" s="777"/>
      <c r="CF1" s="777"/>
      <c r="CG1" s="777"/>
      <c r="CH1" s="777"/>
      <c r="CI1" s="777"/>
      <c r="CJ1" s="777"/>
      <c r="CK1" s="777"/>
      <c r="CL1" s="777"/>
      <c r="CM1" s="777"/>
      <c r="CN1" s="777"/>
      <c r="CO1" s="777"/>
      <c r="CP1" s="777"/>
      <c r="CQ1" s="777"/>
      <c r="CR1" s="777"/>
      <c r="CS1" s="777"/>
      <c r="CT1" s="777"/>
      <c r="CU1" s="777"/>
      <c r="CV1" s="777"/>
      <c r="CW1" s="777"/>
      <c r="CX1" s="777"/>
      <c r="CY1" s="777"/>
      <c r="CZ1" s="777"/>
      <c r="DA1" s="777"/>
      <c r="DB1" s="777"/>
      <c r="DC1" s="777"/>
      <c r="DD1" s="777"/>
      <c r="DE1" s="777"/>
      <c r="DF1" s="777"/>
      <c r="DG1" s="777"/>
      <c r="DH1" s="777"/>
      <c r="DI1" s="777"/>
      <c r="DJ1" s="777"/>
      <c r="DK1" s="777"/>
      <c r="DL1" s="777"/>
      <c r="DM1" s="777"/>
      <c r="DN1" s="777"/>
      <c r="DO1" s="777"/>
    </row>
    <row r="2" spans="2:138" ht="14.25" customHeight="1">
      <c r="B2" s="777"/>
      <c r="C2" s="777"/>
      <c r="D2" s="777"/>
      <c r="E2" s="777"/>
      <c r="F2" s="777"/>
      <c r="G2" s="777"/>
      <c r="H2" s="777"/>
      <c r="I2" s="777"/>
      <c r="J2" s="777"/>
      <c r="K2" s="777"/>
      <c r="L2" s="777"/>
      <c r="M2" s="777"/>
      <c r="N2" s="777"/>
      <c r="O2" s="777"/>
      <c r="P2" s="777"/>
      <c r="Q2" s="777"/>
      <c r="R2" s="777"/>
      <c r="S2" s="777"/>
      <c r="T2" s="777"/>
      <c r="U2" s="777"/>
      <c r="V2" s="777"/>
      <c r="W2" s="777"/>
      <c r="X2" s="777"/>
      <c r="Y2" s="777"/>
      <c r="Z2" s="777"/>
      <c r="AA2" s="777"/>
      <c r="AB2" s="777"/>
      <c r="AC2" s="777"/>
      <c r="AD2" s="777"/>
      <c r="AE2" s="777"/>
      <c r="AF2" s="777"/>
      <c r="AG2" s="777"/>
      <c r="AH2" s="777"/>
      <c r="AI2" s="777"/>
      <c r="AJ2" s="777"/>
      <c r="AK2" s="777"/>
      <c r="AL2" s="777"/>
      <c r="AM2" s="777"/>
      <c r="AN2" s="777"/>
      <c r="AO2" s="777"/>
      <c r="AP2" s="777"/>
      <c r="AQ2" s="777"/>
      <c r="AR2" s="777"/>
      <c r="AS2" s="777"/>
      <c r="AT2" s="777"/>
      <c r="AU2" s="777"/>
      <c r="AV2" s="777"/>
      <c r="AW2" s="777"/>
      <c r="AX2" s="777"/>
      <c r="AY2" s="777"/>
      <c r="AZ2" s="777"/>
      <c r="BA2" s="777"/>
      <c r="BB2" s="777"/>
      <c r="BC2" s="777"/>
      <c r="BD2" s="777"/>
      <c r="BE2" s="777"/>
      <c r="BF2" s="777"/>
      <c r="BG2" s="777"/>
      <c r="BH2" s="777"/>
      <c r="BI2" s="777"/>
      <c r="BJ2" s="777"/>
      <c r="BK2" s="777"/>
      <c r="BL2" s="777"/>
      <c r="BM2" s="777"/>
      <c r="BN2" s="777"/>
      <c r="BO2" s="777"/>
      <c r="BP2" s="777"/>
      <c r="BQ2" s="777"/>
      <c r="BR2" s="777"/>
      <c r="BS2" s="777"/>
      <c r="BT2" s="777"/>
      <c r="BU2" s="777"/>
      <c r="BV2" s="777"/>
      <c r="BW2" s="777"/>
      <c r="BX2" s="777"/>
      <c r="BY2" s="777"/>
      <c r="BZ2" s="777"/>
      <c r="CA2" s="777"/>
      <c r="CB2" s="777"/>
      <c r="CC2" s="777"/>
      <c r="CD2" s="777"/>
      <c r="CE2" s="777"/>
      <c r="CF2" s="777"/>
      <c r="CG2" s="777"/>
      <c r="CH2" s="777"/>
      <c r="CI2" s="777"/>
      <c r="CJ2" s="777"/>
      <c r="CK2" s="777"/>
      <c r="CL2" s="777"/>
      <c r="CM2" s="777"/>
      <c r="CN2" s="777"/>
      <c r="CO2" s="777"/>
      <c r="CP2" s="777"/>
      <c r="CQ2" s="777"/>
      <c r="CR2" s="777"/>
      <c r="CS2" s="777"/>
      <c r="CT2" s="777"/>
      <c r="CU2" s="777"/>
      <c r="CV2" s="777"/>
      <c r="CW2" s="777"/>
      <c r="CX2" s="777"/>
      <c r="CY2" s="777"/>
      <c r="CZ2" s="777"/>
      <c r="DA2" s="777"/>
      <c r="DB2" s="777"/>
      <c r="DC2" s="777"/>
      <c r="DD2" s="777"/>
      <c r="DE2" s="777"/>
      <c r="DF2" s="777"/>
      <c r="DG2" s="777"/>
      <c r="DH2" s="777"/>
      <c r="DI2" s="777"/>
      <c r="DJ2" s="777"/>
      <c r="DK2" s="777"/>
      <c r="DL2" s="777"/>
      <c r="DM2" s="777"/>
      <c r="DN2" s="777"/>
      <c r="DO2" s="777"/>
      <c r="DQ2" s="27"/>
      <c r="DR2" s="27"/>
      <c r="DS2" s="27"/>
      <c r="DT2" s="27"/>
      <c r="DU2" s="27"/>
      <c r="DV2" s="27"/>
      <c r="DW2" s="27"/>
      <c r="DX2" s="27"/>
      <c r="DY2" s="113"/>
      <c r="DZ2" s="113"/>
      <c r="EA2" s="113"/>
      <c r="EB2" s="113"/>
      <c r="EC2" s="113"/>
      <c r="ED2" s="113"/>
      <c r="EE2" s="113"/>
      <c r="EF2" s="113"/>
      <c r="EG2" s="113"/>
      <c r="EH2" s="113"/>
    </row>
    <row r="3" spans="2:138" ht="2.25" customHeight="1" thickBot="1">
      <c r="B3" s="778"/>
      <c r="C3" s="778"/>
      <c r="D3" s="778"/>
      <c r="E3" s="778"/>
      <c r="F3" s="778"/>
      <c r="G3" s="778"/>
      <c r="H3" s="778"/>
      <c r="I3" s="778"/>
      <c r="J3" s="778"/>
      <c r="K3" s="778"/>
      <c r="L3" s="778"/>
      <c r="M3" s="778"/>
      <c r="N3" s="778"/>
      <c r="O3" s="778"/>
      <c r="P3" s="778"/>
      <c r="Q3" s="778"/>
      <c r="R3" s="778"/>
      <c r="S3" s="778"/>
      <c r="T3" s="778"/>
      <c r="U3" s="778"/>
      <c r="V3" s="778"/>
      <c r="W3" s="778"/>
      <c r="X3" s="778"/>
      <c r="Y3" s="778"/>
      <c r="Z3" s="778"/>
      <c r="AA3" s="778"/>
      <c r="AB3" s="778"/>
      <c r="AC3" s="778"/>
      <c r="AD3" s="778"/>
      <c r="AE3" s="778"/>
      <c r="AF3" s="778"/>
      <c r="AG3" s="778"/>
      <c r="AH3" s="778"/>
      <c r="AI3" s="778"/>
      <c r="AJ3" s="778"/>
      <c r="AK3" s="778"/>
      <c r="AL3" s="778"/>
      <c r="AM3" s="778"/>
      <c r="AN3" s="778"/>
      <c r="AO3" s="778"/>
      <c r="AP3" s="778"/>
      <c r="AQ3" s="778"/>
      <c r="AR3" s="778"/>
      <c r="AS3" s="778"/>
      <c r="AT3" s="778"/>
      <c r="AU3" s="778"/>
      <c r="AV3" s="778"/>
      <c r="AW3" s="778"/>
      <c r="AX3" s="778"/>
      <c r="AY3" s="778"/>
      <c r="AZ3" s="778"/>
      <c r="BA3" s="778"/>
      <c r="BB3" s="778"/>
      <c r="BC3" s="778"/>
      <c r="BD3" s="778"/>
      <c r="BE3" s="778"/>
      <c r="BF3" s="778"/>
      <c r="BG3" s="778"/>
      <c r="BH3" s="778"/>
      <c r="BI3" s="778"/>
      <c r="BJ3" s="778"/>
      <c r="BK3" s="778"/>
      <c r="BL3" s="778"/>
      <c r="BM3" s="778"/>
      <c r="BN3" s="778"/>
      <c r="BO3" s="778"/>
      <c r="BP3" s="778"/>
      <c r="BQ3" s="778"/>
      <c r="BR3" s="778"/>
      <c r="BS3" s="778"/>
      <c r="BT3" s="778"/>
      <c r="BU3" s="778"/>
      <c r="BV3" s="778"/>
      <c r="BW3" s="778"/>
      <c r="BX3" s="778"/>
      <c r="BY3" s="778"/>
      <c r="BZ3" s="778"/>
      <c r="CA3" s="778"/>
      <c r="CB3" s="778"/>
      <c r="CC3" s="778"/>
      <c r="CD3" s="778"/>
      <c r="CE3" s="778"/>
      <c r="CF3" s="778"/>
      <c r="CG3" s="778"/>
      <c r="CH3" s="778"/>
      <c r="CI3" s="778"/>
      <c r="CJ3" s="778"/>
      <c r="CK3" s="778"/>
      <c r="CL3" s="778"/>
      <c r="CM3" s="778"/>
      <c r="CN3" s="778"/>
      <c r="CO3" s="778"/>
      <c r="CP3" s="778"/>
      <c r="CQ3" s="778"/>
      <c r="CR3" s="778"/>
      <c r="CS3" s="778"/>
      <c r="CT3" s="778"/>
      <c r="CU3" s="778"/>
      <c r="CV3" s="778"/>
      <c r="CW3" s="778"/>
      <c r="CX3" s="778"/>
      <c r="CY3" s="778"/>
      <c r="CZ3" s="778"/>
      <c r="DA3" s="778"/>
      <c r="DB3" s="778"/>
      <c r="DC3" s="778"/>
      <c r="DD3" s="778"/>
      <c r="DE3" s="778"/>
      <c r="DF3" s="778"/>
      <c r="DG3" s="778"/>
      <c r="DH3" s="778"/>
      <c r="DI3" s="778"/>
      <c r="DJ3" s="778"/>
      <c r="DK3" s="778"/>
      <c r="DL3" s="778"/>
      <c r="DM3" s="778"/>
      <c r="DN3" s="778"/>
      <c r="DO3" s="778"/>
      <c r="DQ3" s="28"/>
      <c r="DR3" s="28"/>
      <c r="DS3" s="28"/>
      <c r="DT3" s="28"/>
      <c r="DU3" s="28"/>
      <c r="DV3" s="28"/>
      <c r="DW3" s="28"/>
      <c r="DX3" s="28"/>
      <c r="DY3" s="113"/>
      <c r="DZ3" s="113"/>
      <c r="EA3" s="113"/>
      <c r="EB3" s="113"/>
      <c r="EC3" s="113"/>
      <c r="ED3" s="113"/>
      <c r="EE3" s="113"/>
      <c r="EF3" s="113"/>
      <c r="EG3" s="113"/>
      <c r="EH3" s="113"/>
    </row>
    <row r="4" spans="2:138" ht="12" customHeight="1">
      <c r="B4" s="711" t="str">
        <f>VLOOKUP("deckblatt",Translations!$A:$T,MATCH(DR19,Translations!A2:P2,0),0)</f>
        <v>Cover sheet</v>
      </c>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712"/>
      <c r="BA4" s="712"/>
      <c r="BB4" s="712"/>
      <c r="BC4" s="712"/>
      <c r="BD4" s="712"/>
      <c r="BE4" s="712"/>
      <c r="BF4" s="712"/>
      <c r="BG4" s="712"/>
      <c r="BH4" s="712"/>
      <c r="BI4" s="712"/>
      <c r="BJ4" s="712"/>
      <c r="BK4" s="712"/>
      <c r="BL4" s="712"/>
      <c r="BM4" s="712"/>
      <c r="BN4" s="712"/>
      <c r="BO4" s="712"/>
      <c r="BP4" s="712"/>
      <c r="BQ4" s="712"/>
      <c r="BR4" s="712"/>
      <c r="BS4" s="712"/>
      <c r="BT4" s="712"/>
      <c r="BU4" s="712"/>
      <c r="BV4" s="712"/>
      <c r="BW4" s="712"/>
      <c r="BX4" s="712"/>
      <c r="BY4" s="712"/>
      <c r="BZ4" s="712"/>
      <c r="CA4" s="712"/>
      <c r="CB4" s="712"/>
      <c r="CC4" s="712"/>
      <c r="CD4" s="712"/>
      <c r="CE4" s="712"/>
      <c r="CF4" s="712"/>
      <c r="CG4" s="712"/>
      <c r="CH4" s="712"/>
      <c r="CI4" s="712"/>
      <c r="CJ4" s="712"/>
      <c r="CK4" s="712"/>
      <c r="CL4" s="712"/>
      <c r="CM4" s="712"/>
      <c r="CN4" s="712"/>
      <c r="CO4" s="712"/>
      <c r="CP4" s="712"/>
      <c r="CQ4" s="712"/>
      <c r="CR4" s="712"/>
      <c r="CS4" s="712"/>
      <c r="CT4" s="712"/>
      <c r="CU4" s="712"/>
      <c r="CV4" s="712"/>
      <c r="CW4" s="712"/>
      <c r="CX4" s="712"/>
      <c r="CY4" s="712"/>
      <c r="CZ4" s="712"/>
      <c r="DA4" s="712"/>
      <c r="DB4" s="712"/>
      <c r="DC4" s="712"/>
      <c r="DD4" s="712"/>
      <c r="DE4" s="712"/>
      <c r="DF4" s="712"/>
      <c r="DG4" s="712"/>
      <c r="DH4" s="712"/>
      <c r="DI4" s="712"/>
      <c r="DJ4" s="712"/>
      <c r="DK4" s="712"/>
      <c r="DL4" s="712"/>
      <c r="DM4" s="712"/>
      <c r="DN4" s="712"/>
      <c r="DO4" s="779"/>
      <c r="DQ4" s="29"/>
      <c r="DR4" s="30"/>
      <c r="DS4" s="30"/>
      <c r="DT4" s="30"/>
      <c r="DY4" s="113"/>
      <c r="DZ4" s="113"/>
      <c r="EA4" s="113"/>
      <c r="EB4" s="113"/>
      <c r="EC4" s="113"/>
      <c r="ED4" s="113"/>
      <c r="EE4" s="113"/>
      <c r="EF4" s="113"/>
      <c r="EG4" s="113"/>
      <c r="EH4" s="113"/>
    </row>
    <row r="5" spans="2:138" ht="2.25" customHeight="1">
      <c r="B5" s="172"/>
      <c r="C5" s="173"/>
      <c r="D5" s="173"/>
      <c r="E5" s="173"/>
      <c r="F5" s="173"/>
      <c r="G5" s="173"/>
      <c r="H5" s="173"/>
      <c r="I5" s="173"/>
      <c r="J5" s="173"/>
      <c r="K5" s="173"/>
      <c r="L5" s="173"/>
      <c r="M5" s="173"/>
      <c r="N5" s="173"/>
      <c r="O5" s="173"/>
      <c r="P5" s="173"/>
      <c r="Q5" s="173"/>
      <c r="R5" s="173"/>
      <c r="S5" s="173"/>
      <c r="T5" s="173"/>
      <c r="U5" s="173"/>
      <c r="V5" s="173"/>
      <c r="W5" s="622"/>
      <c r="X5" s="174"/>
      <c r="Y5" s="174"/>
      <c r="Z5" s="174"/>
      <c r="AA5" s="622"/>
      <c r="AB5" s="173"/>
      <c r="AC5" s="173"/>
      <c r="AD5" s="173"/>
      <c r="AE5" s="173"/>
      <c r="AF5" s="173"/>
      <c r="AG5" s="173"/>
      <c r="AH5" s="173"/>
      <c r="AI5" s="173"/>
      <c r="AJ5" s="173"/>
      <c r="AK5" s="173"/>
      <c r="AL5" s="173"/>
      <c r="AM5" s="173"/>
      <c r="AN5" s="173"/>
      <c r="AO5" s="173"/>
      <c r="AP5" s="173"/>
      <c r="AQ5" s="173"/>
      <c r="AR5" s="173"/>
      <c r="AS5" s="173"/>
      <c r="AT5" s="173"/>
      <c r="AU5" s="173"/>
      <c r="AV5" s="173"/>
      <c r="AW5" s="173"/>
      <c r="AX5" s="173"/>
      <c r="AY5" s="173"/>
      <c r="AZ5" s="173"/>
      <c r="BA5" s="173"/>
      <c r="BB5" s="173"/>
      <c r="BC5" s="173"/>
      <c r="BD5" s="173"/>
      <c r="BE5" s="173"/>
      <c r="BF5" s="173"/>
      <c r="BG5" s="173"/>
      <c r="BH5" s="173"/>
      <c r="BI5" s="173"/>
      <c r="BJ5" s="173"/>
      <c r="BK5" s="173"/>
      <c r="BL5" s="173"/>
      <c r="BM5" s="173"/>
      <c r="BN5" s="173"/>
      <c r="BO5" s="173"/>
      <c r="BP5" s="173"/>
      <c r="BQ5" s="173"/>
      <c r="BR5" s="173"/>
      <c r="BS5" s="173"/>
      <c r="BT5" s="173"/>
      <c r="BU5" s="173"/>
      <c r="BV5" s="173"/>
      <c r="BW5" s="173"/>
      <c r="BX5" s="173"/>
      <c r="BY5" s="173"/>
      <c r="BZ5" s="173"/>
      <c r="CA5" s="173"/>
      <c r="CB5" s="173"/>
      <c r="CC5" s="173"/>
      <c r="CD5" s="173"/>
      <c r="CE5" s="173"/>
      <c r="CF5" s="173"/>
      <c r="CG5" s="173"/>
      <c r="CH5" s="173"/>
      <c r="CI5" s="173"/>
      <c r="CJ5" s="173"/>
      <c r="CK5" s="173"/>
      <c r="CL5" s="173"/>
      <c r="CM5" s="173"/>
      <c r="CN5" s="173"/>
      <c r="CO5" s="173"/>
      <c r="CP5" s="173"/>
      <c r="CQ5" s="173"/>
      <c r="CR5" s="173"/>
      <c r="CS5" s="173"/>
      <c r="CT5" s="787"/>
      <c r="CU5" s="787"/>
      <c r="CV5" s="787"/>
      <c r="CW5" s="787"/>
      <c r="CX5" s="787"/>
      <c r="CY5" s="787"/>
      <c r="CZ5" s="787"/>
      <c r="DA5" s="787"/>
      <c r="DB5" s="787"/>
      <c r="DC5" s="787"/>
      <c r="DD5" s="787"/>
      <c r="DE5" s="787"/>
      <c r="DF5" s="787"/>
      <c r="DG5" s="787"/>
      <c r="DH5" s="787"/>
      <c r="DI5" s="787"/>
      <c r="DJ5" s="787"/>
      <c r="DK5" s="787"/>
      <c r="DL5" s="787"/>
      <c r="DM5" s="787"/>
      <c r="DN5" s="787"/>
      <c r="DO5" s="788"/>
      <c r="DQ5" s="29"/>
      <c r="DR5" s="30"/>
      <c r="DS5" s="30"/>
      <c r="DT5" s="30"/>
      <c r="DY5" s="113"/>
      <c r="DZ5" s="113"/>
      <c r="EA5" s="113"/>
      <c r="EB5" s="113"/>
      <c r="EC5" s="113"/>
      <c r="ED5" s="113"/>
      <c r="EE5" s="113"/>
      <c r="EF5" s="113"/>
      <c r="EG5" s="113"/>
      <c r="EH5" s="113"/>
    </row>
    <row r="6" spans="2:138" ht="11.25" customHeight="1">
      <c r="B6" s="58"/>
      <c r="C6" s="100"/>
      <c r="D6" s="100"/>
      <c r="E6" s="699" t="str">
        <f>VLOOKUP("absender",Translations!$A:$T,MATCH(DR19,Translations!A2:P2,0),0)</f>
        <v>Sender:</v>
      </c>
      <c r="F6" s="699"/>
      <c r="G6" s="699"/>
      <c r="H6" s="699"/>
      <c r="I6" s="699"/>
      <c r="J6" s="699"/>
      <c r="K6" s="699"/>
      <c r="M6" s="699" t="str">
        <f>VLOOKUP("empfanger",Translations!$A:$T,MATCH(DR19,Translations!A2:P2,0),0)</f>
        <v>Recipient:</v>
      </c>
      <c r="N6" s="699"/>
      <c r="O6" s="699"/>
      <c r="P6" s="699"/>
      <c r="Q6" s="699"/>
      <c r="R6" s="699"/>
      <c r="S6" s="699"/>
      <c r="T6" s="699"/>
      <c r="U6" s="699"/>
      <c r="V6" s="68"/>
      <c r="W6" s="416"/>
      <c r="X6" s="175"/>
      <c r="Y6" s="477"/>
      <c r="Z6" s="621"/>
      <c r="AA6" s="96"/>
      <c r="AB6" s="699" t="str">
        <f>VLOOKUP("bericht produktionsprozess",Translations!$A:$T,MATCH(DR19,Translations!A2:P2,0),0)</f>
        <v>Production process and product approval report</v>
      </c>
      <c r="AC6" s="699"/>
      <c r="AD6" s="699"/>
      <c r="AE6" s="699"/>
      <c r="AF6" s="699"/>
      <c r="AG6" s="699"/>
      <c r="AH6" s="699"/>
      <c r="AI6" s="699"/>
      <c r="AJ6" s="699"/>
      <c r="AK6" s="699"/>
      <c r="AL6" s="699"/>
      <c r="AM6" s="699"/>
      <c r="AN6" s="699"/>
      <c r="AO6" s="699"/>
      <c r="AP6" s="699"/>
      <c r="AQ6" s="699"/>
      <c r="AR6" s="699"/>
      <c r="AS6" s="699"/>
      <c r="AT6" s="699"/>
      <c r="AU6" s="699"/>
      <c r="AV6" s="699"/>
      <c r="AW6" s="699"/>
      <c r="AX6" s="699"/>
      <c r="AY6" s="699"/>
      <c r="AZ6" s="699"/>
      <c r="BA6" s="699"/>
      <c r="BB6" s="699"/>
      <c r="BC6" s="699"/>
      <c r="BD6" s="699"/>
      <c r="BE6" s="699"/>
      <c r="BF6" s="699"/>
      <c r="BG6" s="699"/>
      <c r="BH6" s="699"/>
      <c r="BI6" s="699"/>
      <c r="BJ6" s="699"/>
      <c r="BK6" s="699"/>
      <c r="BL6" s="699"/>
      <c r="BM6" s="699"/>
      <c r="BN6" s="699"/>
      <c r="BO6" s="699"/>
      <c r="BP6" s="699"/>
      <c r="BQ6" s="699"/>
      <c r="BR6" s="699"/>
      <c r="BS6" s="100"/>
      <c r="BT6" s="100"/>
      <c r="BU6" s="699" t="str">
        <f>VLOOKUP("vorlagestufe",Translations!$A:$T,MATCH(DR19,Translations!A2:P2,0),0)</f>
        <v>Submission level:</v>
      </c>
      <c r="BV6" s="699"/>
      <c r="BW6" s="699"/>
      <c r="BX6" s="699"/>
      <c r="BY6" s="699"/>
      <c r="BZ6" s="699"/>
      <c r="CA6" s="699"/>
      <c r="CB6" s="699"/>
      <c r="CC6" s="699"/>
      <c r="CD6" s="699"/>
      <c r="CE6" s="699"/>
      <c r="CF6" s="699"/>
      <c r="CG6" s="699"/>
      <c r="CH6" s="699"/>
      <c r="CI6" s="699"/>
      <c r="CJ6" s="699"/>
      <c r="CK6" s="699"/>
      <c r="CL6" s="699"/>
      <c r="CM6" s="786"/>
      <c r="CN6" s="786"/>
      <c r="CO6" s="786"/>
      <c r="CP6" s="786"/>
      <c r="CQ6" s="786"/>
      <c r="CR6" s="786"/>
      <c r="CS6" s="786"/>
      <c r="CT6" s="787"/>
      <c r="CU6" s="787"/>
      <c r="CV6" s="787"/>
      <c r="CW6" s="787"/>
      <c r="CX6" s="787"/>
      <c r="CY6" s="787"/>
      <c r="CZ6" s="787"/>
      <c r="DA6" s="787"/>
      <c r="DB6" s="787"/>
      <c r="DC6" s="787"/>
      <c r="DD6" s="787"/>
      <c r="DE6" s="787"/>
      <c r="DF6" s="787"/>
      <c r="DG6" s="787"/>
      <c r="DH6" s="787"/>
      <c r="DI6" s="787"/>
      <c r="DJ6" s="787"/>
      <c r="DK6" s="787"/>
      <c r="DL6" s="787"/>
      <c r="DM6" s="787"/>
      <c r="DN6" s="787"/>
      <c r="DO6" s="788"/>
      <c r="DY6" s="113"/>
      <c r="DZ6" s="113"/>
      <c r="EA6" s="113"/>
      <c r="EB6" s="113"/>
      <c r="EC6" s="113"/>
      <c r="ED6" s="113"/>
      <c r="EE6" s="113"/>
      <c r="EF6" s="113"/>
      <c r="EG6" s="113"/>
      <c r="EH6" s="113"/>
    </row>
    <row r="7" spans="2:138" ht="2.25" customHeight="1">
      <c r="B7" s="58"/>
      <c r="C7" s="100"/>
      <c r="D7" s="100"/>
      <c r="E7" s="138"/>
      <c r="F7" s="138"/>
      <c r="G7" s="138"/>
      <c r="H7" s="138"/>
      <c r="I7" s="138"/>
      <c r="J7" s="138"/>
      <c r="K7" s="138"/>
      <c r="M7" s="138"/>
      <c r="N7" s="138"/>
      <c r="O7" s="138"/>
      <c r="P7" s="138"/>
      <c r="Q7" s="138"/>
      <c r="R7" s="138"/>
      <c r="S7" s="138"/>
      <c r="T7" s="138"/>
      <c r="U7" s="138"/>
      <c r="V7" s="68"/>
      <c r="W7" s="416"/>
      <c r="X7" s="175"/>
      <c r="Y7" s="478"/>
      <c r="Z7" s="175"/>
      <c r="AA7" s="96"/>
      <c r="AB7" s="138"/>
      <c r="AC7" s="138"/>
      <c r="AD7" s="138"/>
      <c r="AE7" s="138"/>
      <c r="AF7" s="138"/>
      <c r="AG7" s="138"/>
      <c r="AH7" s="138"/>
      <c r="AI7" s="138"/>
      <c r="AJ7" s="138"/>
      <c r="AK7" s="138"/>
      <c r="AL7" s="138"/>
      <c r="AM7" s="138"/>
      <c r="AN7" s="138"/>
      <c r="AO7" s="138"/>
      <c r="AP7" s="138"/>
      <c r="AQ7" s="138"/>
      <c r="AR7" s="148"/>
      <c r="AS7" s="148"/>
      <c r="AT7" s="138"/>
      <c r="AU7" s="148"/>
      <c r="AV7" s="148"/>
      <c r="AW7" s="138"/>
      <c r="AX7" s="148"/>
      <c r="AY7" s="148"/>
      <c r="AZ7" s="138"/>
      <c r="BA7" s="148"/>
      <c r="BB7" s="148"/>
      <c r="BC7" s="138"/>
      <c r="BD7" s="148"/>
      <c r="BE7" s="148"/>
      <c r="BF7" s="138"/>
      <c r="BG7" s="148"/>
      <c r="BH7" s="148"/>
      <c r="BI7" s="138"/>
      <c r="BJ7" s="148"/>
      <c r="BK7" s="148"/>
      <c r="BL7" s="138"/>
      <c r="BM7" s="148"/>
      <c r="BN7" s="148"/>
      <c r="BO7" s="138"/>
      <c r="BP7" s="148"/>
      <c r="BQ7" s="148"/>
      <c r="BR7" s="138"/>
      <c r="BS7" s="186"/>
      <c r="BT7" s="177"/>
      <c r="BU7" s="177"/>
      <c r="BV7" s="177"/>
      <c r="BW7" s="186"/>
      <c r="BX7" s="138"/>
      <c r="BY7" s="148"/>
      <c r="BZ7" s="148"/>
      <c r="CA7" s="138"/>
      <c r="CB7" s="148"/>
      <c r="CC7" s="148"/>
      <c r="CD7" s="138"/>
      <c r="CE7" s="148"/>
      <c r="CF7" s="148"/>
      <c r="CG7" s="756"/>
      <c r="CH7" s="756"/>
      <c r="CI7" s="756"/>
      <c r="CJ7" s="756"/>
      <c r="CK7" s="756"/>
      <c r="CL7" s="756"/>
      <c r="CM7" s="756"/>
      <c r="CN7" s="756"/>
      <c r="CO7" s="756"/>
      <c r="CP7" s="756"/>
      <c r="CQ7" s="756"/>
      <c r="CR7" s="756"/>
      <c r="CS7" s="756"/>
      <c r="CT7" s="756"/>
      <c r="CU7" s="756"/>
      <c r="CV7" s="756"/>
      <c r="CW7" s="756"/>
      <c r="CX7" s="756"/>
      <c r="CY7" s="756"/>
      <c r="CZ7" s="756"/>
      <c r="DA7" s="756"/>
      <c r="DB7" s="756"/>
      <c r="DC7" s="756"/>
      <c r="DD7" s="756"/>
      <c r="DE7" s="756"/>
      <c r="DF7" s="756"/>
      <c r="DG7" s="756"/>
      <c r="DH7" s="756"/>
      <c r="DI7" s="756"/>
      <c r="DJ7" s="756"/>
      <c r="DK7" s="756"/>
      <c r="DL7" s="756"/>
      <c r="DM7" s="756"/>
      <c r="DN7" s="756"/>
      <c r="DO7" s="757"/>
      <c r="DY7" s="113"/>
      <c r="DZ7" s="113"/>
      <c r="EA7" s="113"/>
      <c r="EB7" s="113"/>
      <c r="EC7" s="113"/>
      <c r="ED7" s="113"/>
      <c r="EE7" s="113"/>
      <c r="EF7" s="113"/>
      <c r="EG7" s="113"/>
      <c r="EH7" s="113"/>
    </row>
    <row r="8" spans="2:138" ht="11.25" customHeight="1">
      <c r="B8" s="780"/>
      <c r="C8" s="142"/>
      <c r="D8" s="142"/>
      <c r="E8" s="783"/>
      <c r="F8" s="784"/>
      <c r="G8" s="784"/>
      <c r="H8" s="784"/>
      <c r="I8" s="784"/>
      <c r="J8" s="784"/>
      <c r="K8" s="784"/>
      <c r="L8" s="36"/>
      <c r="M8" s="783"/>
      <c r="N8" s="783"/>
      <c r="O8" s="783"/>
      <c r="P8" s="783"/>
      <c r="Q8" s="783"/>
      <c r="R8" s="783"/>
      <c r="S8" s="783"/>
      <c r="T8" s="783"/>
      <c r="U8" s="783"/>
      <c r="V8" s="69"/>
      <c r="W8" s="69"/>
      <c r="X8" s="176"/>
      <c r="Y8" s="423"/>
      <c r="Z8" s="621"/>
      <c r="AA8" s="96"/>
      <c r="AB8" s="699" t="str">
        <f>VLOOKUP("bericht sonstige",Translations!$A:$T,MATCH(DR19,Translations!A2:P2,0),0)</f>
        <v>Report covering other samples</v>
      </c>
      <c r="AC8" s="699"/>
      <c r="AD8" s="699"/>
      <c r="AE8" s="699"/>
      <c r="AF8" s="699"/>
      <c r="AG8" s="699"/>
      <c r="AH8" s="699"/>
      <c r="AI8" s="699"/>
      <c r="AJ8" s="699"/>
      <c r="AK8" s="699"/>
      <c r="AL8" s="699"/>
      <c r="AM8" s="699"/>
      <c r="AN8" s="699"/>
      <c r="AO8" s="699"/>
      <c r="AP8" s="699"/>
      <c r="AQ8" s="699"/>
      <c r="AR8" s="699"/>
      <c r="AS8" s="699"/>
      <c r="AT8" s="699"/>
      <c r="AU8" s="699"/>
      <c r="AV8" s="699"/>
      <c r="AW8" s="699"/>
      <c r="AX8" s="699"/>
      <c r="AY8" s="699"/>
      <c r="AZ8" s="699"/>
      <c r="BA8" s="699"/>
      <c r="BB8" s="699"/>
      <c r="BC8" s="699"/>
      <c r="BD8" s="699"/>
      <c r="BE8" s="699"/>
      <c r="BF8" s="699"/>
      <c r="BG8" s="699"/>
      <c r="BH8" s="699"/>
      <c r="BI8" s="699"/>
      <c r="BJ8" s="699"/>
      <c r="BK8" s="699"/>
      <c r="BL8" s="699"/>
      <c r="BM8" s="699"/>
      <c r="BN8" s="699"/>
      <c r="BO8" s="699"/>
      <c r="BP8" s="148"/>
      <c r="BQ8" s="148"/>
      <c r="BR8" s="166"/>
      <c r="BS8" s="166"/>
      <c r="BT8" s="221"/>
      <c r="BU8" s="423"/>
      <c r="BV8" s="217"/>
      <c r="BW8" s="699" t="str">
        <f>VLOOKUP("nachbemusterung",Translations!$A:$T,MATCH(DR19,Translations!A2:P2,0),0)</f>
        <v>Reapproval of PPA Process</v>
      </c>
      <c r="BX8" s="699"/>
      <c r="BY8" s="699"/>
      <c r="BZ8" s="699"/>
      <c r="CA8" s="699"/>
      <c r="CB8" s="699"/>
      <c r="CC8" s="699"/>
      <c r="CD8" s="699"/>
      <c r="CE8" s="699"/>
      <c r="CF8" s="699"/>
      <c r="CG8" s="699"/>
      <c r="CH8" s="699"/>
      <c r="CI8" s="699"/>
      <c r="CJ8" s="699"/>
      <c r="CK8" s="699"/>
      <c r="CL8" s="699"/>
      <c r="CM8" s="699"/>
      <c r="CN8" s="699"/>
      <c r="CO8" s="699"/>
      <c r="CP8" s="699"/>
      <c r="CQ8" s="699"/>
      <c r="CR8" s="699"/>
      <c r="CS8" s="699"/>
      <c r="CT8" s="699"/>
      <c r="CU8" s="699"/>
      <c r="CV8" s="699"/>
      <c r="CW8" s="699"/>
      <c r="CX8" s="699"/>
      <c r="CY8" s="699"/>
      <c r="CZ8" s="699"/>
      <c r="DA8" s="699"/>
      <c r="DB8" s="699"/>
      <c r="DC8" s="699"/>
      <c r="DD8" s="699"/>
      <c r="DE8" s="699"/>
      <c r="DF8" s="699"/>
      <c r="DG8" s="699"/>
      <c r="DH8" s="699"/>
      <c r="DI8" s="699"/>
      <c r="DJ8" s="699"/>
      <c r="DK8" s="699"/>
      <c r="DL8" s="699"/>
      <c r="DM8" s="699"/>
      <c r="DN8" s="699"/>
      <c r="DO8" s="700"/>
      <c r="DQ8" s="29"/>
      <c r="DR8" s="33"/>
      <c r="DS8" s="33"/>
      <c r="DT8" s="33"/>
      <c r="DU8" s="33"/>
      <c r="DY8" s="113"/>
      <c r="DZ8" s="113"/>
      <c r="EA8" s="113"/>
      <c r="EB8" s="113"/>
      <c r="EC8" s="113"/>
      <c r="ED8" s="113"/>
      <c r="EE8" s="113"/>
      <c r="EF8" s="113"/>
      <c r="EG8" s="113"/>
      <c r="EH8" s="113"/>
    </row>
    <row r="9" spans="2:138" ht="2.25" customHeight="1">
      <c r="B9" s="780"/>
      <c r="C9" s="142"/>
      <c r="D9" s="142"/>
      <c r="E9" s="784"/>
      <c r="F9" s="784"/>
      <c r="G9" s="784"/>
      <c r="H9" s="784"/>
      <c r="I9" s="784"/>
      <c r="J9" s="784"/>
      <c r="K9" s="784"/>
      <c r="L9" s="36"/>
      <c r="M9" s="783"/>
      <c r="N9" s="783"/>
      <c r="O9" s="783"/>
      <c r="P9" s="783"/>
      <c r="Q9" s="783"/>
      <c r="R9" s="783"/>
      <c r="S9" s="783"/>
      <c r="T9" s="783"/>
      <c r="U9" s="783"/>
      <c r="V9" s="69"/>
      <c r="W9" s="69"/>
      <c r="X9" s="176"/>
      <c r="Y9" s="176"/>
      <c r="Z9" s="176"/>
      <c r="AA9" s="96"/>
      <c r="AB9" s="138"/>
      <c r="AC9" s="186"/>
      <c r="AD9" s="164"/>
      <c r="AE9" s="164"/>
      <c r="AF9" s="164"/>
      <c r="AG9" s="186"/>
      <c r="AH9" s="138"/>
      <c r="AI9" s="138"/>
      <c r="AJ9" s="138"/>
      <c r="AK9" s="138"/>
      <c r="AL9" s="138"/>
      <c r="AM9" s="138"/>
      <c r="AN9" s="138"/>
      <c r="AO9" s="138"/>
      <c r="AP9" s="138"/>
      <c r="AQ9" s="138"/>
      <c r="AR9" s="148"/>
      <c r="AS9" s="148"/>
      <c r="AT9" s="138"/>
      <c r="AU9" s="148"/>
      <c r="AV9" s="148"/>
      <c r="AW9" s="138"/>
      <c r="AX9" s="148"/>
      <c r="AY9" s="148"/>
      <c r="AZ9" s="138"/>
      <c r="BA9" s="148"/>
      <c r="BB9" s="148"/>
      <c r="BC9" s="138"/>
      <c r="BD9" s="148"/>
      <c r="BE9" s="148"/>
      <c r="BF9" s="138"/>
      <c r="BG9" s="148"/>
      <c r="BH9" s="148"/>
      <c r="BI9" s="138"/>
      <c r="BJ9" s="148"/>
      <c r="BK9" s="148"/>
      <c r="BL9" s="138"/>
      <c r="BM9" s="148"/>
      <c r="BN9" s="148"/>
      <c r="BO9" s="138"/>
      <c r="BP9" s="148"/>
      <c r="BQ9" s="148"/>
      <c r="BR9" s="166"/>
      <c r="BS9" s="166"/>
      <c r="BT9" s="32"/>
      <c r="BU9" s="476"/>
      <c r="BV9" s="177"/>
      <c r="BW9" s="186"/>
      <c r="BX9" s="138"/>
      <c r="BY9" s="148"/>
      <c r="BZ9" s="148"/>
      <c r="CA9" s="138"/>
      <c r="CB9" s="148"/>
      <c r="CC9" s="148"/>
      <c r="CD9" s="138"/>
      <c r="CE9" s="148"/>
      <c r="CF9" s="148"/>
      <c r="CG9" s="138"/>
      <c r="CH9" s="148"/>
      <c r="CI9" s="148"/>
      <c r="CJ9" s="138"/>
      <c r="CK9" s="148"/>
      <c r="CL9" s="148"/>
      <c r="CM9" s="138"/>
      <c r="CN9" s="148"/>
      <c r="CO9" s="148"/>
      <c r="CP9" s="138"/>
      <c r="CQ9" s="148"/>
      <c r="CR9" s="148"/>
      <c r="CS9" s="138"/>
      <c r="CT9" s="148"/>
      <c r="CU9" s="148"/>
      <c r="CV9" s="138"/>
      <c r="CW9" s="148"/>
      <c r="CX9" s="148"/>
      <c r="CY9" s="138"/>
      <c r="CZ9" s="148"/>
      <c r="DA9" s="148"/>
      <c r="DB9" s="138"/>
      <c r="DC9" s="148"/>
      <c r="DD9" s="148"/>
      <c r="DE9" s="138"/>
      <c r="DF9" s="148"/>
      <c r="DG9" s="148"/>
      <c r="DH9" s="138"/>
      <c r="DI9" s="148"/>
      <c r="DJ9" s="148"/>
      <c r="DK9" s="138"/>
      <c r="DL9" s="148"/>
      <c r="DM9" s="148"/>
      <c r="DN9" s="148"/>
      <c r="DO9" s="139"/>
      <c r="DQ9" s="29"/>
      <c r="DR9" s="33"/>
      <c r="DS9" s="33"/>
      <c r="DT9" s="33"/>
      <c r="DU9" s="33"/>
      <c r="DY9" s="113"/>
      <c r="DZ9" s="113"/>
      <c r="EA9" s="113"/>
      <c r="EB9" s="113"/>
      <c r="EC9" s="113"/>
      <c r="ED9" s="113"/>
      <c r="EE9" s="113"/>
      <c r="EF9" s="113"/>
      <c r="EG9" s="113"/>
      <c r="EH9" s="113"/>
    </row>
    <row r="10" spans="2:138" ht="11.25" customHeight="1">
      <c r="B10" s="780"/>
      <c r="C10" s="142"/>
      <c r="D10" s="142"/>
      <c r="E10" s="784"/>
      <c r="F10" s="784"/>
      <c r="G10" s="784"/>
      <c r="H10" s="784"/>
      <c r="I10" s="784"/>
      <c r="J10" s="784"/>
      <c r="K10" s="784"/>
      <c r="L10" s="36"/>
      <c r="M10" s="783"/>
      <c r="N10" s="783"/>
      <c r="O10" s="783"/>
      <c r="P10" s="783"/>
      <c r="Q10" s="783"/>
      <c r="R10" s="783"/>
      <c r="S10" s="783"/>
      <c r="T10" s="783"/>
      <c r="U10" s="783"/>
      <c r="V10" s="69"/>
      <c r="W10" s="69"/>
      <c r="X10" s="69"/>
      <c r="Y10" s="69"/>
      <c r="Z10" s="69"/>
      <c r="AA10" s="34"/>
      <c r="AB10" s="166"/>
      <c r="AC10" s="166"/>
      <c r="AD10" s="32"/>
      <c r="AE10" s="423"/>
      <c r="AF10" s="168"/>
      <c r="AG10" s="97"/>
      <c r="AH10" s="699" t="str">
        <f>VLOOKUP("bemusterung",Translations!$A:$T,MATCH(DR19,Translations!A2:P2,0),0)</f>
        <v>Sample submission</v>
      </c>
      <c r="AI10" s="699"/>
      <c r="AJ10" s="699"/>
      <c r="AK10" s="699"/>
      <c r="AL10" s="699"/>
      <c r="AM10" s="699"/>
      <c r="AN10" s="699"/>
      <c r="AO10" s="699"/>
      <c r="AP10" s="699"/>
      <c r="AQ10" s="699"/>
      <c r="AR10" s="699"/>
      <c r="AS10" s="699"/>
      <c r="AT10" s="699"/>
      <c r="AU10" s="699"/>
      <c r="AV10" s="699"/>
      <c r="AW10" s="699"/>
      <c r="AX10" s="699"/>
      <c r="AY10" s="699"/>
      <c r="AZ10" s="699"/>
      <c r="BA10" s="699"/>
      <c r="BB10" s="699"/>
      <c r="BC10" s="699"/>
      <c r="BD10" s="699"/>
      <c r="BE10" s="699"/>
      <c r="BF10" s="699"/>
      <c r="BG10" s="699"/>
      <c r="BH10" s="699"/>
      <c r="BI10" s="699"/>
      <c r="BJ10" s="699"/>
      <c r="BK10" s="699"/>
      <c r="BL10" s="699"/>
      <c r="BM10" s="699"/>
      <c r="BN10" s="699"/>
      <c r="BO10" s="699"/>
      <c r="BP10" s="148"/>
      <c r="BQ10" s="148"/>
      <c r="BR10" s="166"/>
      <c r="BS10" s="166"/>
      <c r="BT10" s="221"/>
      <c r="BU10" s="423"/>
      <c r="BV10" s="217"/>
      <c r="BW10" s="699" t="str">
        <f>VLOOKUP("aussetzen 12 monate",Translations!$A:$T,MATCH(DR19,Translations!A2:P2,0),0)</f>
        <v>Long-term production stop more than 12 months</v>
      </c>
      <c r="BX10" s="699"/>
      <c r="BY10" s="699"/>
      <c r="BZ10" s="699"/>
      <c r="CA10" s="699"/>
      <c r="CB10" s="699"/>
      <c r="CC10" s="699"/>
      <c r="CD10" s="699"/>
      <c r="CE10" s="699"/>
      <c r="CF10" s="699"/>
      <c r="CG10" s="699"/>
      <c r="CH10" s="699"/>
      <c r="CI10" s="699"/>
      <c r="CJ10" s="699"/>
      <c r="CK10" s="699"/>
      <c r="CL10" s="699"/>
      <c r="CM10" s="699"/>
      <c r="CN10" s="699"/>
      <c r="CO10" s="699"/>
      <c r="CP10" s="699"/>
      <c r="CQ10" s="699"/>
      <c r="CR10" s="699"/>
      <c r="CS10" s="699"/>
      <c r="CT10" s="699"/>
      <c r="CU10" s="699"/>
      <c r="CV10" s="699"/>
      <c r="CW10" s="699"/>
      <c r="CX10" s="699"/>
      <c r="CY10" s="699"/>
      <c r="CZ10" s="699"/>
      <c r="DA10" s="699"/>
      <c r="DB10" s="699"/>
      <c r="DC10" s="699"/>
      <c r="DD10" s="699"/>
      <c r="DE10" s="699"/>
      <c r="DF10" s="699"/>
      <c r="DG10" s="699"/>
      <c r="DH10" s="699"/>
      <c r="DI10" s="699"/>
      <c r="DJ10" s="699"/>
      <c r="DK10" s="699"/>
      <c r="DL10" s="699"/>
      <c r="DM10" s="699"/>
      <c r="DN10" s="699"/>
      <c r="DO10" s="700"/>
      <c r="DQ10" s="263"/>
      <c r="DR10" s="263"/>
      <c r="DY10" s="113"/>
      <c r="DZ10" s="113"/>
      <c r="EA10" s="113"/>
      <c r="EB10" s="113"/>
      <c r="EC10" s="113"/>
      <c r="ED10" s="113"/>
      <c r="EE10" s="113"/>
      <c r="EF10" s="113"/>
      <c r="EG10" s="113"/>
      <c r="EH10" s="113"/>
    </row>
    <row r="11" spans="2:138" ht="2.25" customHeight="1">
      <c r="B11" s="780"/>
      <c r="C11" s="142"/>
      <c r="D11" s="142"/>
      <c r="E11" s="784"/>
      <c r="F11" s="784"/>
      <c r="G11" s="784"/>
      <c r="H11" s="784"/>
      <c r="I11" s="784"/>
      <c r="J11" s="784"/>
      <c r="K11" s="784"/>
      <c r="L11" s="36"/>
      <c r="M11" s="783"/>
      <c r="N11" s="783"/>
      <c r="O11" s="783"/>
      <c r="P11" s="783"/>
      <c r="Q11" s="783"/>
      <c r="R11" s="783"/>
      <c r="S11" s="783"/>
      <c r="T11" s="783"/>
      <c r="U11" s="783"/>
      <c r="V11" s="69"/>
      <c r="W11" s="69"/>
      <c r="X11" s="69"/>
      <c r="Y11" s="69"/>
      <c r="Z11" s="69"/>
      <c r="AA11" s="142"/>
      <c r="AB11" s="166"/>
      <c r="AC11" s="166"/>
      <c r="AD11" s="32"/>
      <c r="AE11" s="475"/>
      <c r="AF11" s="164"/>
      <c r="AG11" s="186"/>
      <c r="AH11" s="138"/>
      <c r="AI11" s="138"/>
      <c r="AJ11" s="138"/>
      <c r="AK11" s="138"/>
      <c r="AL11" s="138"/>
      <c r="AM11" s="138"/>
      <c r="AN11" s="138"/>
      <c r="AO11" s="138"/>
      <c r="AP11" s="138"/>
      <c r="AQ11" s="138"/>
      <c r="AR11" s="148"/>
      <c r="AS11" s="148"/>
      <c r="AT11" s="138"/>
      <c r="AU11" s="148"/>
      <c r="AV11" s="148"/>
      <c r="AW11" s="138"/>
      <c r="AX11" s="148"/>
      <c r="AY11" s="148"/>
      <c r="AZ11" s="138"/>
      <c r="BA11" s="148"/>
      <c r="BB11" s="148"/>
      <c r="BC11" s="138"/>
      <c r="BD11" s="148"/>
      <c r="BE11" s="148"/>
      <c r="BF11" s="138"/>
      <c r="BG11" s="148"/>
      <c r="BH11" s="148"/>
      <c r="BI11" s="138"/>
      <c r="BJ11" s="148"/>
      <c r="BK11" s="148"/>
      <c r="BL11" s="138"/>
      <c r="BM11" s="148"/>
      <c r="BN11" s="148"/>
      <c r="BO11" s="138"/>
      <c r="BP11" s="148"/>
      <c r="BQ11" s="148"/>
      <c r="BR11" s="166"/>
      <c r="BS11" s="166"/>
      <c r="BT11" s="32"/>
      <c r="BU11" s="476"/>
      <c r="BV11" s="177"/>
      <c r="BW11" s="186"/>
      <c r="BX11" s="138"/>
      <c r="BY11" s="148"/>
      <c r="BZ11" s="148"/>
      <c r="CA11" s="138"/>
      <c r="CB11" s="148"/>
      <c r="CC11" s="148"/>
      <c r="CD11" s="138"/>
      <c r="CE11" s="148"/>
      <c r="CF11" s="148"/>
      <c r="CG11" s="138"/>
      <c r="CH11" s="148"/>
      <c r="CI11" s="148"/>
      <c r="CJ11" s="138"/>
      <c r="CK11" s="148"/>
      <c r="CL11" s="148"/>
      <c r="CM11" s="138"/>
      <c r="CN11" s="148"/>
      <c r="CO11" s="148"/>
      <c r="CP11" s="138"/>
      <c r="CQ11" s="148"/>
      <c r="CR11" s="148"/>
      <c r="CS11" s="138"/>
      <c r="CT11" s="148"/>
      <c r="CU11" s="148"/>
      <c r="CV11" s="138"/>
      <c r="CW11" s="148"/>
      <c r="CX11" s="148"/>
      <c r="CY11" s="138"/>
      <c r="CZ11" s="148"/>
      <c r="DA11" s="148"/>
      <c r="DB11" s="138"/>
      <c r="DC11" s="148"/>
      <c r="DD11" s="148"/>
      <c r="DE11" s="138"/>
      <c r="DF11" s="148"/>
      <c r="DG11" s="148"/>
      <c r="DH11" s="138"/>
      <c r="DI11" s="148"/>
      <c r="DJ11" s="148"/>
      <c r="DK11" s="138"/>
      <c r="DL11" s="148"/>
      <c r="DM11" s="148"/>
      <c r="DN11" s="148"/>
      <c r="DO11" s="139"/>
      <c r="DQ11" s="35"/>
      <c r="DR11" s="35"/>
      <c r="DY11" s="113"/>
      <c r="DZ11" s="113"/>
      <c r="EA11" s="113"/>
      <c r="EB11" s="113"/>
      <c r="EC11" s="113"/>
      <c r="ED11" s="113"/>
      <c r="EE11" s="113"/>
      <c r="EF11" s="113"/>
      <c r="EG11" s="113"/>
      <c r="EH11" s="113"/>
    </row>
    <row r="12" spans="2:138" ht="11.25" customHeight="1">
      <c r="B12" s="780"/>
      <c r="C12" s="142"/>
      <c r="D12" s="142"/>
      <c r="E12" s="784"/>
      <c r="F12" s="784"/>
      <c r="G12" s="784"/>
      <c r="H12" s="784"/>
      <c r="I12" s="784"/>
      <c r="J12" s="784"/>
      <c r="K12" s="784"/>
      <c r="L12" s="36"/>
      <c r="M12" s="783"/>
      <c r="N12" s="783"/>
      <c r="O12" s="783"/>
      <c r="P12" s="783"/>
      <c r="Q12" s="783"/>
      <c r="R12" s="783"/>
      <c r="S12" s="783"/>
      <c r="T12" s="783"/>
      <c r="U12" s="783"/>
      <c r="V12" s="69"/>
      <c r="W12" s="69"/>
      <c r="X12" s="69"/>
      <c r="Y12" s="69"/>
      <c r="Z12" s="69"/>
      <c r="AA12" s="36"/>
      <c r="AB12" s="36"/>
      <c r="AC12" s="233"/>
      <c r="AD12" s="167"/>
      <c r="AE12" s="423"/>
      <c r="AF12" s="32"/>
      <c r="AG12" s="166"/>
      <c r="AH12" s="699" t="str">
        <f>VLOOKUP("neuteil",Translations!$A:$T,MATCH(DR19,Translations!A2:P2,0),0)</f>
        <v>New parts</v>
      </c>
      <c r="AI12" s="699"/>
      <c r="AJ12" s="699"/>
      <c r="AK12" s="699"/>
      <c r="AL12" s="699"/>
      <c r="AM12" s="699"/>
      <c r="AN12" s="699"/>
      <c r="AO12" s="699"/>
      <c r="AP12" s="699"/>
      <c r="AQ12" s="699"/>
      <c r="AR12" s="699"/>
      <c r="AS12" s="699"/>
      <c r="AT12" s="699"/>
      <c r="AU12" s="699"/>
      <c r="AV12" s="699"/>
      <c r="AW12" s="699"/>
      <c r="AX12" s="699"/>
      <c r="AY12" s="699"/>
      <c r="AZ12" s="699"/>
      <c r="BA12" s="699"/>
      <c r="BB12" s="699"/>
      <c r="BC12" s="699"/>
      <c r="BD12" s="699"/>
      <c r="BE12" s="699"/>
      <c r="BF12" s="699"/>
      <c r="BG12" s="699"/>
      <c r="BH12" s="699"/>
      <c r="BI12" s="699"/>
      <c r="BJ12" s="699"/>
      <c r="BK12" s="699"/>
      <c r="BL12" s="699"/>
      <c r="BM12" s="699"/>
      <c r="BN12" s="699"/>
      <c r="BO12" s="699"/>
      <c r="BP12" s="148"/>
      <c r="BQ12" s="148"/>
      <c r="BR12" s="166"/>
      <c r="BS12" s="166"/>
      <c r="BT12" s="221"/>
      <c r="BU12" s="423"/>
      <c r="BV12" s="217"/>
      <c r="BW12" s="699" t="str">
        <f>VLOOKUP("anderung in der lieferkette",Translations!$A:$T,MATCH(DR19,Translations!A2:P2,0),0)</f>
        <v>Modification in the supply chain</v>
      </c>
      <c r="BX12" s="699"/>
      <c r="BY12" s="699"/>
      <c r="BZ12" s="699"/>
      <c r="CA12" s="699"/>
      <c r="CB12" s="699"/>
      <c r="CC12" s="699"/>
      <c r="CD12" s="699"/>
      <c r="CE12" s="699"/>
      <c r="CF12" s="699"/>
      <c r="CG12" s="699"/>
      <c r="CH12" s="699"/>
      <c r="CI12" s="699"/>
      <c r="CJ12" s="699"/>
      <c r="CK12" s="699"/>
      <c r="CL12" s="699"/>
      <c r="CM12" s="699"/>
      <c r="CN12" s="699"/>
      <c r="CO12" s="699"/>
      <c r="CP12" s="699"/>
      <c r="CQ12" s="699"/>
      <c r="CR12" s="699"/>
      <c r="CS12" s="699"/>
      <c r="CT12" s="699"/>
      <c r="CU12" s="699"/>
      <c r="CV12" s="699"/>
      <c r="CW12" s="699"/>
      <c r="CX12" s="699"/>
      <c r="CY12" s="699"/>
      <c r="CZ12" s="699"/>
      <c r="DA12" s="699"/>
      <c r="DB12" s="699"/>
      <c r="DC12" s="699"/>
      <c r="DD12" s="699"/>
      <c r="DE12" s="699"/>
      <c r="DF12" s="699"/>
      <c r="DG12" s="699"/>
      <c r="DH12" s="699"/>
      <c r="DI12" s="699"/>
      <c r="DJ12" s="699"/>
      <c r="DK12" s="699"/>
      <c r="DL12" s="699"/>
      <c r="DM12" s="699"/>
      <c r="DN12" s="699"/>
      <c r="DO12" s="700"/>
      <c r="DT12" s="25"/>
      <c r="DU12" s="25"/>
      <c r="DV12" s="25"/>
      <c r="DW12" s="25"/>
      <c r="DX12" s="25"/>
      <c r="DY12" s="113"/>
      <c r="DZ12" s="113"/>
      <c r="EA12" s="113"/>
      <c r="EB12" s="113"/>
      <c r="EC12" s="113"/>
      <c r="ED12" s="113"/>
      <c r="EE12" s="113"/>
      <c r="EF12" s="113"/>
      <c r="EG12" s="113"/>
      <c r="EH12" s="113"/>
    </row>
    <row r="13" spans="2:138" ht="2.25" customHeight="1">
      <c r="B13" s="780"/>
      <c r="C13" s="142"/>
      <c r="D13" s="142"/>
      <c r="E13" s="784"/>
      <c r="F13" s="784"/>
      <c r="G13" s="784"/>
      <c r="H13" s="784"/>
      <c r="I13" s="784"/>
      <c r="J13" s="784"/>
      <c r="K13" s="784"/>
      <c r="L13" s="36"/>
      <c r="M13" s="783"/>
      <c r="N13" s="783"/>
      <c r="O13" s="783"/>
      <c r="P13" s="783"/>
      <c r="Q13" s="783"/>
      <c r="R13" s="783"/>
      <c r="S13" s="783"/>
      <c r="T13" s="783"/>
      <c r="U13" s="783"/>
      <c r="V13" s="69"/>
      <c r="W13" s="69"/>
      <c r="X13" s="69"/>
      <c r="Y13" s="69"/>
      <c r="Z13" s="69"/>
      <c r="AA13" s="36"/>
      <c r="AB13" s="36"/>
      <c r="AC13" s="233"/>
      <c r="AD13" s="167"/>
      <c r="AE13" s="475"/>
      <c r="AF13" s="32"/>
      <c r="AG13" s="166"/>
      <c r="AH13" s="138"/>
      <c r="AI13" s="138"/>
      <c r="AJ13" s="138"/>
      <c r="AK13" s="138"/>
      <c r="AL13" s="138"/>
      <c r="AM13" s="138"/>
      <c r="AN13" s="138"/>
      <c r="AO13" s="138"/>
      <c r="AP13" s="138"/>
      <c r="AQ13" s="138"/>
      <c r="AR13" s="148"/>
      <c r="AS13" s="148"/>
      <c r="AT13" s="138"/>
      <c r="AU13" s="148"/>
      <c r="AV13" s="148"/>
      <c r="AW13" s="138"/>
      <c r="AX13" s="148"/>
      <c r="AY13" s="148"/>
      <c r="AZ13" s="138"/>
      <c r="BA13" s="148"/>
      <c r="BB13" s="148"/>
      <c r="BC13" s="138"/>
      <c r="BD13" s="148"/>
      <c r="BE13" s="148"/>
      <c r="BF13" s="138"/>
      <c r="BG13" s="148"/>
      <c r="BH13" s="148"/>
      <c r="BI13" s="138"/>
      <c r="BJ13" s="148"/>
      <c r="BK13" s="148"/>
      <c r="BL13" s="138"/>
      <c r="BM13" s="148"/>
      <c r="BN13" s="148"/>
      <c r="BO13" s="138"/>
      <c r="BP13" s="148"/>
      <c r="BQ13" s="148"/>
      <c r="BR13" s="166"/>
      <c r="BS13" s="166"/>
      <c r="BT13" s="32"/>
      <c r="BU13" s="476"/>
      <c r="BV13" s="177"/>
      <c r="BW13" s="186"/>
      <c r="BX13" s="138"/>
      <c r="BY13" s="148"/>
      <c r="BZ13" s="148"/>
      <c r="CA13" s="138"/>
      <c r="CB13" s="148"/>
      <c r="CC13" s="148"/>
      <c r="CD13" s="138"/>
      <c r="CE13" s="148"/>
      <c r="CF13" s="148"/>
      <c r="CG13" s="138"/>
      <c r="CH13" s="148"/>
      <c r="CI13" s="148"/>
      <c r="CJ13" s="138"/>
      <c r="CK13" s="148"/>
      <c r="CL13" s="148"/>
      <c r="CM13" s="138"/>
      <c r="CN13" s="148"/>
      <c r="CO13" s="148"/>
      <c r="CP13" s="138"/>
      <c r="CQ13" s="148"/>
      <c r="CR13" s="148"/>
      <c r="CS13" s="138"/>
      <c r="CT13" s="148"/>
      <c r="CU13" s="148"/>
      <c r="CV13" s="138"/>
      <c r="CW13" s="148"/>
      <c r="CX13" s="148"/>
      <c r="CY13" s="138"/>
      <c r="CZ13" s="148"/>
      <c r="DA13" s="148"/>
      <c r="DB13" s="138"/>
      <c r="DC13" s="148"/>
      <c r="DD13" s="148"/>
      <c r="DE13" s="138"/>
      <c r="DF13" s="148"/>
      <c r="DG13" s="148"/>
      <c r="DH13" s="138"/>
      <c r="DI13" s="148"/>
      <c r="DJ13" s="148"/>
      <c r="DK13" s="138"/>
      <c r="DL13" s="148"/>
      <c r="DM13" s="148"/>
      <c r="DN13" s="148"/>
      <c r="DO13" s="139"/>
      <c r="DT13" s="25"/>
      <c r="DU13" s="25"/>
      <c r="DV13" s="25"/>
      <c r="DW13" s="25"/>
      <c r="DX13" s="25"/>
      <c r="DY13" s="113"/>
      <c r="DZ13" s="113"/>
      <c r="EA13" s="113"/>
      <c r="EB13" s="113"/>
      <c r="EC13" s="113"/>
      <c r="ED13" s="113"/>
      <c r="EE13" s="113"/>
      <c r="EF13" s="113"/>
      <c r="EG13" s="113"/>
      <c r="EH13" s="113"/>
    </row>
    <row r="14" spans="2:138" ht="11.25" customHeight="1">
      <c r="B14" s="780"/>
      <c r="C14" s="142"/>
      <c r="D14" s="142"/>
      <c r="E14" s="784"/>
      <c r="F14" s="784"/>
      <c r="G14" s="784"/>
      <c r="H14" s="784"/>
      <c r="I14" s="784"/>
      <c r="J14" s="784"/>
      <c r="K14" s="784"/>
      <c r="L14" s="36"/>
      <c r="M14" s="783"/>
      <c r="N14" s="783"/>
      <c r="O14" s="783"/>
      <c r="P14" s="783"/>
      <c r="Q14" s="783"/>
      <c r="R14" s="783"/>
      <c r="S14" s="783"/>
      <c r="T14" s="783"/>
      <c r="U14" s="783"/>
      <c r="V14" s="70"/>
      <c r="W14" s="70"/>
      <c r="X14" s="70"/>
      <c r="Y14" s="70"/>
      <c r="Z14" s="70"/>
      <c r="AA14" s="36"/>
      <c r="AB14" s="36"/>
      <c r="AC14" s="233"/>
      <c r="AD14" s="167"/>
      <c r="AE14" s="423"/>
      <c r="AF14" s="32"/>
      <c r="AG14" s="166"/>
      <c r="AH14" s="699" t="str">
        <f>VLOOKUP("andreungen an produkt",Translations!$A:$T,MATCH(DR19,Translations!A2:P2,0),0)</f>
        <v>Product modification</v>
      </c>
      <c r="AI14" s="699"/>
      <c r="AJ14" s="699"/>
      <c r="AK14" s="699"/>
      <c r="AL14" s="699"/>
      <c r="AM14" s="699"/>
      <c r="AN14" s="699"/>
      <c r="AO14" s="699"/>
      <c r="AP14" s="699"/>
      <c r="AQ14" s="699"/>
      <c r="AR14" s="699"/>
      <c r="AS14" s="699"/>
      <c r="AT14" s="699"/>
      <c r="AU14" s="699"/>
      <c r="AV14" s="699"/>
      <c r="AW14" s="699"/>
      <c r="AX14" s="699"/>
      <c r="AY14" s="699"/>
      <c r="AZ14" s="699"/>
      <c r="BA14" s="699"/>
      <c r="BB14" s="699"/>
      <c r="BC14" s="699"/>
      <c r="BD14" s="699"/>
      <c r="BE14" s="699"/>
      <c r="BF14" s="699"/>
      <c r="BG14" s="699"/>
      <c r="BH14" s="699"/>
      <c r="BI14" s="699"/>
      <c r="BJ14" s="699"/>
      <c r="BK14" s="699"/>
      <c r="BL14" s="699"/>
      <c r="BM14" s="699"/>
      <c r="BN14" s="699"/>
      <c r="BO14" s="699"/>
      <c r="BP14" s="148"/>
      <c r="BQ14" s="148"/>
      <c r="BR14" s="166"/>
      <c r="BS14" s="166"/>
      <c r="BT14" s="221"/>
      <c r="BU14" s="423"/>
      <c r="BV14" s="167"/>
      <c r="BW14" s="699" t="str">
        <f>VLOOKUP("sonstige",Translations!$A:$T,MATCH(DR19,Translations!A2:P2,0),0)</f>
        <v>Others</v>
      </c>
      <c r="BX14" s="699"/>
      <c r="BY14" s="699"/>
      <c r="BZ14" s="699"/>
      <c r="CA14" s="699"/>
      <c r="CB14" s="699"/>
      <c r="CC14" s="699"/>
      <c r="CD14" s="699"/>
      <c r="CE14" s="699"/>
      <c r="CF14" s="699"/>
      <c r="CG14" s="785"/>
      <c r="CH14" s="785"/>
      <c r="CI14" s="785"/>
      <c r="CJ14" s="785"/>
      <c r="CK14" s="785"/>
      <c r="CL14" s="785"/>
      <c r="CM14" s="785"/>
      <c r="CN14" s="785"/>
      <c r="CO14" s="785"/>
      <c r="CP14" s="785"/>
      <c r="CQ14" s="785"/>
      <c r="CR14" s="785"/>
      <c r="CS14" s="785"/>
      <c r="CT14" s="785"/>
      <c r="CU14" s="785"/>
      <c r="CV14" s="785"/>
      <c r="CW14" s="785"/>
      <c r="CX14" s="785"/>
      <c r="CY14" s="785"/>
      <c r="CZ14" s="785"/>
      <c r="DA14" s="785"/>
      <c r="DB14" s="785"/>
      <c r="DC14" s="785"/>
      <c r="DD14" s="785"/>
      <c r="DE14" s="785"/>
      <c r="DF14" s="785"/>
      <c r="DG14" s="785"/>
      <c r="DH14" s="785"/>
      <c r="DI14" s="785"/>
      <c r="DJ14" s="785"/>
      <c r="DK14" s="785"/>
      <c r="DL14" s="785"/>
      <c r="DM14" s="785"/>
      <c r="DN14" s="785"/>
      <c r="DO14" s="37"/>
      <c r="DR14" s="25"/>
      <c r="DS14" s="38"/>
      <c r="DT14" s="39"/>
      <c r="DU14" s="39"/>
      <c r="DV14" s="39"/>
      <c r="DW14" s="25"/>
      <c r="DX14" s="25"/>
      <c r="DY14" s="113"/>
      <c r="DZ14" s="113"/>
      <c r="EA14" s="113"/>
      <c r="EB14" s="113"/>
      <c r="EC14" s="113"/>
      <c r="ED14" s="113"/>
      <c r="EE14" s="113"/>
      <c r="EF14" s="113"/>
      <c r="EG14" s="113"/>
      <c r="EH14" s="113"/>
    </row>
    <row r="15" spans="2:138" ht="2.25" customHeight="1">
      <c r="B15" s="780"/>
      <c r="C15" s="142"/>
      <c r="D15" s="142"/>
      <c r="E15" s="784"/>
      <c r="F15" s="784"/>
      <c r="G15" s="784"/>
      <c r="H15" s="784"/>
      <c r="I15" s="784"/>
      <c r="J15" s="784"/>
      <c r="K15" s="784"/>
      <c r="L15" s="36"/>
      <c r="M15" s="783"/>
      <c r="N15" s="783"/>
      <c r="O15" s="783"/>
      <c r="P15" s="783"/>
      <c r="Q15" s="783"/>
      <c r="R15" s="783"/>
      <c r="S15" s="783"/>
      <c r="T15" s="783"/>
      <c r="U15" s="783"/>
      <c r="V15" s="70"/>
      <c r="W15" s="70"/>
      <c r="X15" s="70"/>
      <c r="Y15" s="70"/>
      <c r="Z15" s="70"/>
      <c r="AA15" s="36"/>
      <c r="AB15" s="36"/>
      <c r="AC15" s="233"/>
      <c r="AD15" s="167"/>
      <c r="AE15" s="475"/>
      <c r="AF15" s="32"/>
      <c r="AG15" s="166"/>
      <c r="AH15" s="138"/>
      <c r="AI15" s="138"/>
      <c r="AJ15" s="138"/>
      <c r="AK15" s="138"/>
      <c r="AL15" s="138"/>
      <c r="AM15" s="138"/>
      <c r="AN15" s="138"/>
      <c r="AO15" s="138"/>
      <c r="AP15" s="138"/>
      <c r="AQ15" s="138"/>
      <c r="AR15" s="148"/>
      <c r="AS15" s="148"/>
      <c r="AT15" s="138"/>
      <c r="AU15" s="148"/>
      <c r="AV15" s="148"/>
      <c r="AW15" s="138"/>
      <c r="AX15" s="148"/>
      <c r="AY15" s="148"/>
      <c r="AZ15" s="138"/>
      <c r="BA15" s="148"/>
      <c r="BB15" s="148"/>
      <c r="BC15" s="138"/>
      <c r="BD15" s="148"/>
      <c r="BE15" s="148"/>
      <c r="BF15" s="138"/>
      <c r="BG15" s="148"/>
      <c r="BH15" s="148"/>
      <c r="BI15" s="138"/>
      <c r="BJ15" s="148"/>
      <c r="BK15" s="148"/>
      <c r="BL15" s="138"/>
      <c r="BM15" s="148"/>
      <c r="BN15" s="148"/>
      <c r="BO15" s="138"/>
      <c r="BP15" s="148"/>
      <c r="BQ15" s="148"/>
      <c r="BR15" s="166"/>
      <c r="BS15" s="166"/>
      <c r="BT15" s="32"/>
      <c r="BU15" s="167"/>
      <c r="BV15" s="167"/>
      <c r="BW15" s="233"/>
      <c r="BX15" s="138"/>
      <c r="BY15" s="148"/>
      <c r="BZ15" s="148"/>
      <c r="CA15" s="138"/>
      <c r="CB15" s="148"/>
      <c r="CC15" s="148"/>
      <c r="CD15" s="138"/>
      <c r="CE15" s="148"/>
      <c r="CF15" s="148"/>
      <c r="CG15" s="169"/>
      <c r="CH15" s="169"/>
      <c r="CI15" s="169"/>
      <c r="CJ15" s="169"/>
      <c r="CK15" s="169"/>
      <c r="CL15" s="169"/>
      <c r="CM15" s="169"/>
      <c r="CN15" s="169"/>
      <c r="CO15" s="169"/>
      <c r="CP15" s="169"/>
      <c r="CQ15" s="169"/>
      <c r="CR15" s="169"/>
      <c r="CS15" s="169"/>
      <c r="CT15" s="169"/>
      <c r="CU15" s="169"/>
      <c r="CV15" s="169"/>
      <c r="CW15" s="169"/>
      <c r="CX15" s="169"/>
      <c r="CY15" s="169"/>
      <c r="CZ15" s="169"/>
      <c r="DA15" s="169"/>
      <c r="DB15" s="169"/>
      <c r="DC15" s="169"/>
      <c r="DD15" s="169"/>
      <c r="DE15" s="169"/>
      <c r="DF15" s="169"/>
      <c r="DG15" s="169"/>
      <c r="DH15" s="169"/>
      <c r="DI15" s="169"/>
      <c r="DJ15" s="169"/>
      <c r="DK15" s="169"/>
      <c r="DL15" s="169"/>
      <c r="DM15" s="169"/>
      <c r="DN15" s="169"/>
      <c r="DO15" s="37"/>
      <c r="DQ15" s="854" t="s">
        <v>292</v>
      </c>
      <c r="DR15" s="854"/>
      <c r="DS15" s="38"/>
      <c r="DT15" s="39"/>
      <c r="DU15" s="39"/>
      <c r="DV15" s="39"/>
      <c r="DW15" s="25"/>
      <c r="DX15" s="25"/>
      <c r="DY15" s="113"/>
      <c r="DZ15" s="113"/>
      <c r="EA15" s="113"/>
      <c r="EB15" s="113"/>
      <c r="EC15" s="113"/>
      <c r="ED15" s="113"/>
      <c r="EE15" s="113"/>
      <c r="EF15" s="113"/>
      <c r="EG15" s="113"/>
      <c r="EH15" s="113"/>
    </row>
    <row r="16" spans="2:138" ht="11.25" customHeight="1">
      <c r="B16" s="780"/>
      <c r="C16" s="142"/>
      <c r="D16" s="142"/>
      <c r="E16" s="784"/>
      <c r="F16" s="784"/>
      <c r="G16" s="784"/>
      <c r="H16" s="784"/>
      <c r="I16" s="784"/>
      <c r="J16" s="784"/>
      <c r="K16" s="784"/>
      <c r="L16" s="36"/>
      <c r="M16" s="783"/>
      <c r="N16" s="783"/>
      <c r="O16" s="783"/>
      <c r="P16" s="783"/>
      <c r="Q16" s="783"/>
      <c r="R16" s="783"/>
      <c r="S16" s="783"/>
      <c r="T16" s="783"/>
      <c r="U16" s="783"/>
      <c r="V16" s="70"/>
      <c r="W16" s="70"/>
      <c r="X16" s="70"/>
      <c r="Y16" s="70"/>
      <c r="Z16" s="70"/>
      <c r="AA16" s="36"/>
      <c r="AB16" s="36"/>
      <c r="AC16" s="233"/>
      <c r="AD16" s="167"/>
      <c r="AE16" s="423"/>
      <c r="AF16" s="32"/>
      <c r="AG16" s="166"/>
      <c r="AH16" s="699" t="str">
        <f>VLOOKUP("anderung am produktionsprozess",Translations!$A:$T,MATCH(DR19,Translations!A2:P2,0),0)</f>
        <v>Production process modification</v>
      </c>
      <c r="AI16" s="699"/>
      <c r="AJ16" s="699"/>
      <c r="AK16" s="699"/>
      <c r="AL16" s="699"/>
      <c r="AM16" s="699"/>
      <c r="AN16" s="699"/>
      <c r="AO16" s="699"/>
      <c r="AP16" s="699"/>
      <c r="AQ16" s="699"/>
      <c r="AR16" s="699"/>
      <c r="AS16" s="699"/>
      <c r="AT16" s="699"/>
      <c r="AU16" s="699"/>
      <c r="AV16" s="699"/>
      <c r="AW16" s="699"/>
      <c r="AX16" s="699"/>
      <c r="AY16" s="699"/>
      <c r="AZ16" s="699"/>
      <c r="BA16" s="699"/>
      <c r="BB16" s="699"/>
      <c r="BC16" s="699"/>
      <c r="BD16" s="699"/>
      <c r="BE16" s="699"/>
      <c r="BF16" s="699"/>
      <c r="BG16" s="699"/>
      <c r="BH16" s="699"/>
      <c r="BI16" s="699"/>
      <c r="BJ16" s="699"/>
      <c r="BK16" s="699"/>
      <c r="BL16" s="699"/>
      <c r="BM16" s="699"/>
      <c r="BN16" s="699"/>
      <c r="BO16" s="699"/>
      <c r="BP16" s="148"/>
      <c r="BQ16" s="148"/>
      <c r="BR16" s="781"/>
      <c r="BS16" s="781"/>
      <c r="BT16" s="781"/>
      <c r="BU16" s="781"/>
      <c r="BV16" s="781"/>
      <c r="BW16" s="781"/>
      <c r="BX16" s="781"/>
      <c r="BY16" s="781"/>
      <c r="BZ16" s="781"/>
      <c r="CA16" s="781"/>
      <c r="CB16" s="781"/>
      <c r="CC16" s="781"/>
      <c r="CD16" s="781"/>
      <c r="CE16" s="781"/>
      <c r="CF16" s="781"/>
      <c r="CG16" s="781"/>
      <c r="CH16" s="781"/>
      <c r="CI16" s="781"/>
      <c r="CJ16" s="781"/>
      <c r="CK16" s="781"/>
      <c r="CL16" s="781"/>
      <c r="CM16" s="781"/>
      <c r="CN16" s="781"/>
      <c r="CO16" s="781"/>
      <c r="CP16" s="781"/>
      <c r="CQ16" s="781"/>
      <c r="CR16" s="781"/>
      <c r="CS16" s="781"/>
      <c r="CT16" s="781"/>
      <c r="CU16" s="781"/>
      <c r="CV16" s="781"/>
      <c r="CW16" s="781"/>
      <c r="CX16" s="781"/>
      <c r="CY16" s="781"/>
      <c r="CZ16" s="781"/>
      <c r="DA16" s="781"/>
      <c r="DB16" s="781"/>
      <c r="DC16" s="781"/>
      <c r="DD16" s="781"/>
      <c r="DE16" s="781"/>
      <c r="DF16" s="781"/>
      <c r="DG16" s="781"/>
      <c r="DH16" s="781"/>
      <c r="DI16" s="781"/>
      <c r="DJ16" s="781"/>
      <c r="DK16" s="781"/>
      <c r="DL16" s="781"/>
      <c r="DM16" s="781"/>
      <c r="DN16" s="781"/>
      <c r="DO16" s="782"/>
      <c r="DQ16" s="854"/>
      <c r="DR16" s="854"/>
      <c r="DT16" s="39"/>
      <c r="DU16" s="39"/>
      <c r="DV16" s="39"/>
      <c r="DW16" s="25"/>
      <c r="DX16" s="25"/>
      <c r="DY16" s="113"/>
      <c r="DZ16" s="113"/>
      <c r="EA16" s="113"/>
      <c r="EB16" s="113"/>
      <c r="EC16" s="113"/>
      <c r="ED16" s="113"/>
      <c r="EE16" s="113"/>
      <c r="EF16" s="113"/>
      <c r="EG16" s="113"/>
      <c r="EH16" s="113"/>
    </row>
    <row r="17" spans="2:138" ht="2.25" customHeight="1">
      <c r="B17" s="141"/>
      <c r="C17" s="142"/>
      <c r="D17" s="142"/>
      <c r="E17" s="784"/>
      <c r="F17" s="784"/>
      <c r="G17" s="784"/>
      <c r="H17" s="784"/>
      <c r="I17" s="784"/>
      <c r="J17" s="784"/>
      <c r="K17" s="784"/>
      <c r="L17" s="36"/>
      <c r="M17" s="783"/>
      <c r="N17" s="783"/>
      <c r="O17" s="783"/>
      <c r="P17" s="783"/>
      <c r="Q17" s="783"/>
      <c r="R17" s="783"/>
      <c r="S17" s="783"/>
      <c r="T17" s="783"/>
      <c r="U17" s="783"/>
      <c r="V17" s="70"/>
      <c r="W17" s="70"/>
      <c r="X17" s="70"/>
      <c r="Y17" s="70"/>
      <c r="Z17" s="70"/>
      <c r="AA17" s="36"/>
      <c r="AB17" s="36"/>
      <c r="AC17" s="233"/>
      <c r="AD17" s="167"/>
      <c r="AE17" s="242"/>
      <c r="AF17" s="32"/>
      <c r="AG17" s="166"/>
      <c r="AH17" s="138"/>
      <c r="AI17" s="138"/>
      <c r="AJ17" s="138"/>
      <c r="AK17" s="138"/>
      <c r="AL17" s="138"/>
      <c r="AM17" s="138"/>
      <c r="AN17" s="138"/>
      <c r="AO17" s="138"/>
      <c r="AP17" s="138"/>
      <c r="AQ17" s="138"/>
      <c r="AR17" s="148"/>
      <c r="AS17" s="148"/>
      <c r="AT17" s="138"/>
      <c r="AU17" s="148"/>
      <c r="AV17" s="148"/>
      <c r="AW17" s="138"/>
      <c r="AX17" s="148"/>
      <c r="AY17" s="148"/>
      <c r="AZ17" s="138"/>
      <c r="BA17" s="148"/>
      <c r="BB17" s="148"/>
      <c r="BC17" s="138"/>
      <c r="BD17" s="148"/>
      <c r="BE17" s="148"/>
      <c r="BF17" s="138"/>
      <c r="BG17" s="148"/>
      <c r="BH17" s="148"/>
      <c r="BI17" s="138"/>
      <c r="BJ17" s="148"/>
      <c r="BK17" s="148"/>
      <c r="BL17" s="138"/>
      <c r="BM17" s="148"/>
      <c r="BN17" s="148"/>
      <c r="BO17" s="138"/>
      <c r="BP17" s="148"/>
      <c r="BQ17" s="148"/>
      <c r="BR17" s="142"/>
      <c r="BS17" s="142"/>
      <c r="BT17" s="142"/>
      <c r="BU17" s="142"/>
      <c r="BV17" s="152"/>
      <c r="BW17" s="152"/>
      <c r="BX17" s="142"/>
      <c r="BY17" s="152"/>
      <c r="BZ17" s="152"/>
      <c r="CA17" s="142"/>
      <c r="CB17" s="152"/>
      <c r="CC17" s="152"/>
      <c r="CD17" s="142"/>
      <c r="CE17" s="152"/>
      <c r="CF17" s="152"/>
      <c r="CG17" s="142"/>
      <c r="CH17" s="152"/>
      <c r="CI17" s="152"/>
      <c r="CJ17" s="142"/>
      <c r="CK17" s="152"/>
      <c r="CL17" s="152"/>
      <c r="CM17" s="142"/>
      <c r="CN17" s="152"/>
      <c r="CO17" s="152"/>
      <c r="CP17" s="142"/>
      <c r="CQ17" s="152"/>
      <c r="CR17" s="152"/>
      <c r="CS17" s="142"/>
      <c r="CT17" s="152"/>
      <c r="CU17" s="152"/>
      <c r="CV17" s="142"/>
      <c r="CW17" s="152"/>
      <c r="CX17" s="152"/>
      <c r="CY17" s="142"/>
      <c r="CZ17" s="152"/>
      <c r="DA17" s="152"/>
      <c r="DB17" s="142"/>
      <c r="DC17" s="152"/>
      <c r="DD17" s="152"/>
      <c r="DE17" s="142"/>
      <c r="DF17" s="152"/>
      <c r="DG17" s="152"/>
      <c r="DH17" s="142"/>
      <c r="DI17" s="152"/>
      <c r="DJ17" s="152"/>
      <c r="DK17" s="142"/>
      <c r="DL17" s="152"/>
      <c r="DM17" s="152"/>
      <c r="DN17" s="152"/>
      <c r="DO17" s="143"/>
      <c r="DQ17" s="854"/>
      <c r="DR17" s="854"/>
      <c r="DT17" s="39"/>
      <c r="DU17" s="39"/>
      <c r="DV17" s="39"/>
      <c r="DW17" s="25"/>
      <c r="DX17" s="25"/>
      <c r="DY17" s="113"/>
      <c r="DZ17" s="113"/>
      <c r="EA17" s="113"/>
      <c r="EB17" s="113"/>
      <c r="EC17" s="113"/>
      <c r="ED17" s="113"/>
      <c r="EE17" s="113"/>
      <c r="EF17" s="113"/>
      <c r="EG17" s="113"/>
      <c r="EH17" s="113"/>
    </row>
    <row r="18" spans="2:138" ht="2.25" customHeight="1" thickBot="1">
      <c r="B18" s="744"/>
      <c r="C18" s="745"/>
      <c r="D18" s="745"/>
      <c r="E18" s="745"/>
      <c r="F18" s="745"/>
      <c r="G18" s="745"/>
      <c r="H18" s="745"/>
      <c r="I18" s="745"/>
      <c r="J18" s="745"/>
      <c r="K18" s="745"/>
      <c r="L18" s="745"/>
      <c r="M18" s="745"/>
      <c r="N18" s="745"/>
      <c r="O18" s="745"/>
      <c r="P18" s="745"/>
      <c r="Q18" s="745"/>
      <c r="R18" s="745"/>
      <c r="S18" s="745"/>
      <c r="T18" s="745"/>
      <c r="U18" s="745"/>
      <c r="V18" s="745"/>
      <c r="W18" s="745"/>
      <c r="X18" s="745"/>
      <c r="Y18" s="745"/>
      <c r="Z18" s="745"/>
      <c r="AA18" s="745"/>
      <c r="AB18" s="745"/>
      <c r="AC18" s="745"/>
      <c r="AD18" s="745"/>
      <c r="AE18" s="745"/>
      <c r="AF18" s="745"/>
      <c r="AG18" s="745"/>
      <c r="AH18" s="745"/>
      <c r="AI18" s="745"/>
      <c r="AJ18" s="745"/>
      <c r="AK18" s="745"/>
      <c r="AL18" s="745"/>
      <c r="AM18" s="745"/>
      <c r="AN18" s="745"/>
      <c r="AO18" s="745"/>
      <c r="AP18" s="745"/>
      <c r="AQ18" s="745"/>
      <c r="AR18" s="745"/>
      <c r="AS18" s="745"/>
      <c r="AT18" s="745"/>
      <c r="AU18" s="745"/>
      <c r="AV18" s="745"/>
      <c r="AW18" s="745"/>
      <c r="AX18" s="745"/>
      <c r="AY18" s="745"/>
      <c r="AZ18" s="745"/>
      <c r="BA18" s="745"/>
      <c r="BB18" s="745"/>
      <c r="BC18" s="745"/>
      <c r="BD18" s="745"/>
      <c r="BE18" s="745"/>
      <c r="BF18" s="745"/>
      <c r="BG18" s="745"/>
      <c r="BH18" s="745"/>
      <c r="BI18" s="745"/>
      <c r="BJ18" s="745"/>
      <c r="BK18" s="745"/>
      <c r="BL18" s="745"/>
      <c r="BM18" s="745"/>
      <c r="BN18" s="745"/>
      <c r="BO18" s="745"/>
      <c r="BP18" s="745"/>
      <c r="BQ18" s="745"/>
      <c r="BR18" s="745"/>
      <c r="BS18" s="745"/>
      <c r="BT18" s="745"/>
      <c r="BU18" s="745"/>
      <c r="BV18" s="745"/>
      <c r="BW18" s="745"/>
      <c r="BX18" s="745"/>
      <c r="BY18" s="745"/>
      <c r="BZ18" s="745"/>
      <c r="CA18" s="745"/>
      <c r="CB18" s="745"/>
      <c r="CC18" s="745"/>
      <c r="CD18" s="745"/>
      <c r="CE18" s="745"/>
      <c r="CF18" s="745"/>
      <c r="CG18" s="745"/>
      <c r="CH18" s="745"/>
      <c r="CI18" s="745"/>
      <c r="CJ18" s="745"/>
      <c r="CK18" s="745"/>
      <c r="CL18" s="745"/>
      <c r="CM18" s="745"/>
      <c r="CN18" s="745"/>
      <c r="CO18" s="745"/>
      <c r="CP18" s="745"/>
      <c r="CQ18" s="745"/>
      <c r="CR18" s="745"/>
      <c r="CS18" s="745"/>
      <c r="CT18" s="745"/>
      <c r="CU18" s="745"/>
      <c r="CV18" s="745"/>
      <c r="CW18" s="745"/>
      <c r="CX18" s="745"/>
      <c r="CY18" s="745"/>
      <c r="CZ18" s="745"/>
      <c r="DA18" s="745"/>
      <c r="DB18" s="745"/>
      <c r="DC18" s="745"/>
      <c r="DD18" s="745"/>
      <c r="DE18" s="745"/>
      <c r="DF18" s="745"/>
      <c r="DG18" s="745"/>
      <c r="DH18" s="745"/>
      <c r="DI18" s="745"/>
      <c r="DJ18" s="745"/>
      <c r="DK18" s="745"/>
      <c r="DL18" s="745"/>
      <c r="DM18" s="745"/>
      <c r="DN18" s="745"/>
      <c r="DO18" s="746"/>
      <c r="DT18" s="39"/>
      <c r="DU18" s="39"/>
      <c r="DV18" s="39"/>
      <c r="DW18" s="25"/>
      <c r="DX18" s="25"/>
      <c r="DY18" s="113"/>
      <c r="DZ18" s="113"/>
      <c r="EA18" s="113"/>
      <c r="EB18" s="113"/>
      <c r="EC18" s="113"/>
      <c r="ED18" s="113"/>
      <c r="EE18" s="113"/>
      <c r="EF18" s="113"/>
      <c r="EG18" s="113"/>
      <c r="EH18" s="113"/>
    </row>
    <row r="19" spans="2:138" s="41" customFormat="1" ht="12.75" customHeight="1" thickBot="1">
      <c r="B19" s="739" t="str">
        <f>VLOOKUP("anlagen einsichtnahme",Translations!$A:$T,MATCH(DR19,Translations!A2:P2,0),0)</f>
        <v>Attachements / items for inspection</v>
      </c>
      <c r="C19" s="740"/>
      <c r="D19" s="740"/>
      <c r="E19" s="740"/>
      <c r="F19" s="740"/>
      <c r="G19" s="740"/>
      <c r="H19" s="740"/>
      <c r="I19" s="740"/>
      <c r="J19" s="740"/>
      <c r="K19" s="740"/>
      <c r="L19" s="740"/>
      <c r="M19" s="740"/>
      <c r="N19" s="740"/>
      <c r="O19" s="740"/>
      <c r="P19" s="740"/>
      <c r="Q19" s="740"/>
      <c r="R19" s="740"/>
      <c r="S19" s="740"/>
      <c r="T19" s="740"/>
      <c r="U19" s="740"/>
      <c r="V19" s="740"/>
      <c r="W19" s="740"/>
      <c r="X19" s="740"/>
      <c r="Y19" s="740"/>
      <c r="Z19" s="740"/>
      <c r="AA19" s="740"/>
      <c r="AB19" s="740"/>
      <c r="AC19" s="740"/>
      <c r="AD19" s="740"/>
      <c r="AE19" s="740"/>
      <c r="AF19" s="740"/>
      <c r="AG19" s="740"/>
      <c r="AH19" s="740"/>
      <c r="AI19" s="740"/>
      <c r="AJ19" s="740"/>
      <c r="AK19" s="740"/>
      <c r="AL19" s="740"/>
      <c r="AM19" s="740"/>
      <c r="AN19" s="740"/>
      <c r="AO19" s="740"/>
      <c r="AP19" s="740"/>
      <c r="AQ19" s="740"/>
      <c r="AR19" s="740"/>
      <c r="AS19" s="740"/>
      <c r="AT19" s="740"/>
      <c r="AU19" s="740"/>
      <c r="AV19" s="740"/>
      <c r="AW19" s="740"/>
      <c r="AX19" s="740"/>
      <c r="AY19" s="740"/>
      <c r="AZ19" s="740"/>
      <c r="BA19" s="740"/>
      <c r="BB19" s="740"/>
      <c r="BC19" s="740"/>
      <c r="BD19" s="740"/>
      <c r="BE19" s="740"/>
      <c r="BF19" s="740"/>
      <c r="BG19" s="740"/>
      <c r="BH19" s="740"/>
      <c r="BI19" s="740"/>
      <c r="BJ19" s="740"/>
      <c r="BK19" s="740"/>
      <c r="BL19" s="740"/>
      <c r="BM19" s="740"/>
      <c r="BN19" s="740"/>
      <c r="BO19" s="740"/>
      <c r="BP19" s="740"/>
      <c r="BQ19" s="740"/>
      <c r="BR19" s="740"/>
      <c r="BS19" s="740"/>
      <c r="BT19" s="740"/>
      <c r="BU19" s="740"/>
      <c r="BV19" s="740"/>
      <c r="BW19" s="740"/>
      <c r="BX19" s="740"/>
      <c r="BY19" s="740"/>
      <c r="BZ19" s="740"/>
      <c r="CA19" s="740"/>
      <c r="CB19" s="740"/>
      <c r="CC19" s="740"/>
      <c r="CD19" s="740"/>
      <c r="CE19" s="740"/>
      <c r="CF19" s="740"/>
      <c r="CG19" s="740"/>
      <c r="CH19" s="740"/>
      <c r="CI19" s="740"/>
      <c r="CJ19" s="740"/>
      <c r="CK19" s="740"/>
      <c r="CL19" s="740"/>
      <c r="CM19" s="740"/>
      <c r="CN19" s="740"/>
      <c r="CO19" s="740"/>
      <c r="CP19" s="740"/>
      <c r="CQ19" s="740"/>
      <c r="CR19" s="740"/>
      <c r="CS19" s="740"/>
      <c r="CT19" s="740"/>
      <c r="CU19" s="740"/>
      <c r="CV19" s="740"/>
      <c r="CW19" s="740"/>
      <c r="CX19" s="740"/>
      <c r="CY19" s="740"/>
      <c r="CZ19" s="740"/>
      <c r="DA19" s="740"/>
      <c r="DB19" s="740"/>
      <c r="DC19" s="740"/>
      <c r="DD19" s="740"/>
      <c r="DE19" s="740"/>
      <c r="DF19" s="740"/>
      <c r="DG19" s="740"/>
      <c r="DH19" s="740"/>
      <c r="DI19" s="740"/>
      <c r="DJ19" s="740"/>
      <c r="DK19" s="740"/>
      <c r="DL19" s="740"/>
      <c r="DM19" s="740"/>
      <c r="DN19" s="740"/>
      <c r="DO19" s="741"/>
      <c r="DQ19" s="40"/>
      <c r="DR19" s="22" t="s">
        <v>293</v>
      </c>
      <c r="DS19" s="39"/>
      <c r="DT19" s="39"/>
      <c r="DU19" s="39"/>
      <c r="DV19" s="39"/>
      <c r="DW19" s="25"/>
      <c r="DX19" s="25"/>
      <c r="DY19" s="264"/>
      <c r="DZ19" s="264"/>
      <c r="EA19" s="264"/>
      <c r="EB19" s="264"/>
      <c r="EC19" s="264"/>
      <c r="ED19" s="264"/>
      <c r="EE19" s="264"/>
      <c r="EF19" s="264"/>
      <c r="EG19" s="264"/>
      <c r="EH19" s="264"/>
    </row>
    <row r="20" spans="2:138" s="41" customFormat="1" ht="12.75" customHeight="1" thickBot="1">
      <c r="B20" s="739" t="str">
        <f>VLOOKUP("produkt prozess",Translations!$A:$T,MATCH(DR19,Translations!A2:P2,0),0)</f>
        <v>Product / Process</v>
      </c>
      <c r="C20" s="740"/>
      <c r="D20" s="740"/>
      <c r="E20" s="740"/>
      <c r="F20" s="740"/>
      <c r="G20" s="740"/>
      <c r="H20" s="740"/>
      <c r="I20" s="740"/>
      <c r="J20" s="740"/>
      <c r="K20" s="740"/>
      <c r="L20" s="740"/>
      <c r="M20" s="740"/>
      <c r="N20" s="740"/>
      <c r="O20" s="740"/>
      <c r="P20" s="740"/>
      <c r="Q20" s="740"/>
      <c r="R20" s="740"/>
      <c r="S20" s="740"/>
      <c r="T20" s="740"/>
      <c r="U20" s="740"/>
      <c r="V20" s="740"/>
      <c r="W20" s="740"/>
      <c r="X20" s="740"/>
      <c r="Y20" s="740"/>
      <c r="Z20" s="740"/>
      <c r="AA20" s="740"/>
      <c r="AB20" s="740"/>
      <c r="AC20" s="740"/>
      <c r="AD20" s="740"/>
      <c r="AE20" s="740"/>
      <c r="AF20" s="740"/>
      <c r="AG20" s="740"/>
      <c r="AH20" s="740"/>
      <c r="AI20" s="740"/>
      <c r="AJ20" s="740"/>
      <c r="AK20" s="740"/>
      <c r="AL20" s="740"/>
      <c r="AM20" s="740"/>
      <c r="AN20" s="740"/>
      <c r="AO20" s="740"/>
      <c r="AP20" s="740"/>
      <c r="AQ20" s="740"/>
      <c r="AR20" s="740"/>
      <c r="AS20" s="740"/>
      <c r="AT20" s="740"/>
      <c r="AU20" s="740"/>
      <c r="AV20" s="740"/>
      <c r="AW20" s="740"/>
      <c r="AX20" s="740"/>
      <c r="AY20" s="740"/>
      <c r="AZ20" s="740"/>
      <c r="BA20" s="740"/>
      <c r="BB20" s="740"/>
      <c r="BC20" s="740"/>
      <c r="BD20" s="740"/>
      <c r="BE20" s="740"/>
      <c r="BF20" s="740"/>
      <c r="BG20" s="740"/>
      <c r="BH20" s="740"/>
      <c r="BI20" s="740"/>
      <c r="BJ20" s="740"/>
      <c r="BK20" s="740"/>
      <c r="BL20" s="740"/>
      <c r="BM20" s="740"/>
      <c r="BN20" s="740"/>
      <c r="BO20" s="740"/>
      <c r="BP20" s="740"/>
      <c r="BQ20" s="740"/>
      <c r="BR20" s="740"/>
      <c r="BS20" s="740"/>
      <c r="BT20" s="740"/>
      <c r="BU20" s="740"/>
      <c r="BV20" s="740"/>
      <c r="BW20" s="740"/>
      <c r="BX20" s="740"/>
      <c r="BY20" s="740"/>
      <c r="BZ20" s="740"/>
      <c r="CA20" s="740"/>
      <c r="CB20" s="740"/>
      <c r="CC20" s="740"/>
      <c r="CD20" s="740"/>
      <c r="CE20" s="740"/>
      <c r="CF20" s="740"/>
      <c r="CG20" s="740"/>
      <c r="CH20" s="740"/>
      <c r="CI20" s="740"/>
      <c r="CJ20" s="740"/>
      <c r="CK20" s="740"/>
      <c r="CL20" s="740"/>
      <c r="CM20" s="740"/>
      <c r="CN20" s="740"/>
      <c r="CO20" s="740"/>
      <c r="CP20" s="740"/>
      <c r="CQ20" s="740"/>
      <c r="CR20" s="740"/>
      <c r="CS20" s="740"/>
      <c r="CT20" s="740"/>
      <c r="CU20" s="740"/>
      <c r="CV20" s="740"/>
      <c r="CW20" s="740"/>
      <c r="CX20" s="740"/>
      <c r="CY20" s="740"/>
      <c r="CZ20" s="740"/>
      <c r="DA20" s="740"/>
      <c r="DB20" s="740"/>
      <c r="DC20" s="740"/>
      <c r="DD20" s="740"/>
      <c r="DE20" s="740"/>
      <c r="DF20" s="740"/>
      <c r="DG20" s="740"/>
      <c r="DH20" s="740"/>
      <c r="DI20" s="740"/>
      <c r="DJ20" s="740"/>
      <c r="DK20" s="740"/>
      <c r="DL20" s="740"/>
      <c r="DM20" s="740"/>
      <c r="DN20" s="740"/>
      <c r="DO20" s="741"/>
      <c r="DP20" s="264"/>
      <c r="DQ20" s="25"/>
      <c r="DR20" s="25"/>
      <c r="DS20" s="39"/>
      <c r="DT20" s="39"/>
      <c r="DU20" s="39"/>
      <c r="DV20" s="39"/>
      <c r="DW20" s="25"/>
      <c r="DX20" s="25"/>
      <c r="DY20" s="264"/>
      <c r="DZ20" s="264"/>
      <c r="EA20" s="264"/>
      <c r="EB20" s="264"/>
      <c r="EC20" s="264"/>
      <c r="ED20" s="264"/>
      <c r="EE20" s="264"/>
      <c r="EF20" s="264"/>
      <c r="EG20" s="264"/>
      <c r="EH20" s="264"/>
    </row>
    <row r="21" spans="2:138" s="41" customFormat="1" ht="2.25" customHeight="1">
      <c r="B21" s="51"/>
      <c r="C21" s="52"/>
      <c r="D21" s="52"/>
      <c r="E21" s="52"/>
      <c r="F21" s="52"/>
      <c r="G21" s="52"/>
      <c r="H21" s="52"/>
      <c r="I21" s="52"/>
      <c r="J21" s="52"/>
      <c r="K21" s="52"/>
      <c r="L21" s="52"/>
      <c r="M21" s="52"/>
      <c r="N21" s="52"/>
      <c r="O21" s="52"/>
      <c r="P21" s="52"/>
      <c r="Q21" s="52"/>
      <c r="R21" s="52"/>
      <c r="S21" s="52"/>
      <c r="T21" s="52"/>
      <c r="U21" s="52"/>
      <c r="V21" s="52"/>
      <c r="W21" s="52"/>
      <c r="X21" s="52"/>
      <c r="Y21" s="52"/>
      <c r="Z21" s="52"/>
      <c r="AA21" s="52"/>
      <c r="AB21" s="52"/>
      <c r="AC21" s="52"/>
      <c r="AD21" s="52"/>
      <c r="AE21" s="52"/>
      <c r="AF21" s="52"/>
      <c r="AG21" s="52"/>
      <c r="AH21" s="52"/>
      <c r="AI21" s="52"/>
      <c r="AJ21" s="52"/>
      <c r="AK21" s="52"/>
      <c r="AL21" s="52"/>
      <c r="AM21" s="52"/>
      <c r="AN21" s="52"/>
      <c r="AO21" s="52"/>
      <c r="AP21" s="52"/>
      <c r="AQ21" s="52"/>
      <c r="AR21" s="52"/>
      <c r="AS21" s="52"/>
      <c r="AT21" s="52"/>
      <c r="AU21" s="52"/>
      <c r="AV21" s="52"/>
      <c r="AW21" s="52"/>
      <c r="AX21" s="52"/>
      <c r="AY21" s="52"/>
      <c r="AZ21" s="52"/>
      <c r="BA21" s="52"/>
      <c r="BB21" s="52"/>
      <c r="BC21" s="52"/>
      <c r="BD21" s="52"/>
      <c r="BE21" s="52"/>
      <c r="BF21" s="52"/>
      <c r="BG21" s="52"/>
      <c r="BH21" s="52"/>
      <c r="BI21" s="52"/>
      <c r="BJ21" s="52"/>
      <c r="BK21" s="52"/>
      <c r="BL21" s="52"/>
      <c r="BM21" s="52"/>
      <c r="BN21" s="52"/>
      <c r="BO21" s="52"/>
      <c r="BP21" s="52"/>
      <c r="BQ21" s="52"/>
      <c r="BR21" s="52"/>
      <c r="BS21" s="52"/>
      <c r="BT21" s="52"/>
      <c r="BU21" s="52"/>
      <c r="BV21" s="52"/>
      <c r="BW21" s="52"/>
      <c r="BX21" s="52"/>
      <c r="BY21" s="52"/>
      <c r="BZ21" s="52"/>
      <c r="CA21" s="52"/>
      <c r="CB21" s="52"/>
      <c r="CC21" s="52"/>
      <c r="CD21" s="52"/>
      <c r="CE21" s="52"/>
      <c r="CF21" s="52"/>
      <c r="CG21" s="52"/>
      <c r="CH21" s="52"/>
      <c r="CI21" s="52"/>
      <c r="CJ21" s="52"/>
      <c r="CK21" s="52"/>
      <c r="CL21" s="52"/>
      <c r="CM21" s="52"/>
      <c r="CN21" s="52"/>
      <c r="CO21" s="52"/>
      <c r="CP21" s="52"/>
      <c r="CQ21" s="52"/>
      <c r="CR21" s="52"/>
      <c r="CS21" s="52"/>
      <c r="CT21" s="52"/>
      <c r="CU21" s="52"/>
      <c r="CV21" s="52"/>
      <c r="CW21" s="52"/>
      <c r="CX21" s="52"/>
      <c r="CY21" s="52"/>
      <c r="CZ21" s="52"/>
      <c r="DA21" s="52"/>
      <c r="DB21" s="52"/>
      <c r="DC21" s="52"/>
      <c r="DD21" s="52"/>
      <c r="DE21" s="52"/>
      <c r="DF21" s="52"/>
      <c r="DG21" s="52"/>
      <c r="DH21" s="52"/>
      <c r="DI21" s="52"/>
      <c r="DJ21" s="52"/>
      <c r="DK21" s="52"/>
      <c r="DL21" s="52"/>
      <c r="DM21" s="52"/>
      <c r="DN21" s="52"/>
      <c r="DO21" s="53"/>
      <c r="DP21" s="264"/>
      <c r="DQ21" s="701"/>
      <c r="DR21" s="701"/>
      <c r="DS21" s="39"/>
      <c r="DT21" s="39"/>
      <c r="DU21" s="39"/>
      <c r="DV21" s="39"/>
      <c r="DW21" s="25"/>
      <c r="DX21" s="25"/>
      <c r="DY21" s="264"/>
      <c r="DZ21" s="264"/>
      <c r="EA21" s="264"/>
      <c r="EB21" s="264"/>
      <c r="EC21" s="264"/>
      <c r="ED21" s="264"/>
      <c r="EE21" s="264"/>
      <c r="EF21" s="264"/>
      <c r="EG21" s="264"/>
      <c r="EH21" s="264"/>
    </row>
    <row r="22" spans="2:138" s="41" customFormat="1" ht="2.25" customHeight="1">
      <c r="B22" s="161"/>
      <c r="C22" s="157"/>
      <c r="D22" s="157"/>
      <c r="E22" s="155"/>
      <c r="F22" s="155"/>
      <c r="G22" s="155"/>
      <c r="H22" s="155"/>
      <c r="I22" s="155"/>
      <c r="J22" s="157"/>
      <c r="K22" s="157"/>
      <c r="L22" s="157"/>
      <c r="M22" s="155"/>
      <c r="N22" s="155"/>
      <c r="O22" s="155"/>
      <c r="P22" s="155"/>
      <c r="Q22" s="155"/>
      <c r="R22" s="155"/>
      <c r="S22" s="155"/>
      <c r="T22" s="155"/>
      <c r="U22" s="155"/>
      <c r="V22" s="155"/>
      <c r="W22" s="155"/>
      <c r="X22" s="157"/>
      <c r="Y22" s="157"/>
      <c r="Z22" s="165"/>
      <c r="AB22" s="155"/>
      <c r="AC22" s="155"/>
      <c r="AG22" s="155"/>
      <c r="AH22" s="155"/>
      <c r="AI22" s="155"/>
      <c r="AJ22" s="155"/>
      <c r="AK22" s="155"/>
      <c r="AL22" s="155"/>
      <c r="AM22" s="155"/>
      <c r="AN22" s="155"/>
      <c r="AO22" s="155"/>
      <c r="AP22" s="155"/>
      <c r="AQ22" s="155"/>
      <c r="AR22" s="155"/>
      <c r="AS22" s="155"/>
      <c r="AT22" s="155"/>
      <c r="AU22" s="155"/>
      <c r="AV22" s="155"/>
      <c r="AW22" s="155"/>
      <c r="AX22" s="155"/>
      <c r="AY22" s="155"/>
      <c r="AZ22" s="155"/>
      <c r="BA22" s="155"/>
      <c r="BB22" s="155"/>
      <c r="BC22" s="155"/>
      <c r="BD22" s="155"/>
      <c r="BE22" s="155"/>
      <c r="BF22" s="155"/>
      <c r="BG22" s="155"/>
      <c r="BH22" s="155"/>
      <c r="BI22" s="155"/>
      <c r="BJ22" s="155"/>
      <c r="BK22" s="155"/>
      <c r="BL22" s="155"/>
      <c r="BM22" s="155"/>
      <c r="BN22" s="155"/>
      <c r="BO22" s="155"/>
      <c r="BP22" s="155"/>
      <c r="BQ22" s="157"/>
      <c r="BR22" s="157"/>
      <c r="BS22" s="165"/>
      <c r="BW22" s="155"/>
      <c r="BX22" s="155"/>
      <c r="BY22" s="155"/>
      <c r="BZ22" s="155"/>
      <c r="CA22" s="155"/>
      <c r="CB22" s="155"/>
      <c r="CC22" s="155"/>
      <c r="CD22" s="155"/>
      <c r="CE22" s="155"/>
      <c r="CF22" s="155"/>
      <c r="CG22" s="155"/>
      <c r="CH22" s="155"/>
      <c r="CI22" s="155"/>
      <c r="CJ22" s="155"/>
      <c r="CK22" s="155"/>
      <c r="CL22" s="155"/>
      <c r="CM22" s="155"/>
      <c r="CN22" s="155"/>
      <c r="CO22" s="155"/>
      <c r="CP22" s="155"/>
      <c r="CQ22" s="155"/>
      <c r="CR22" s="155"/>
      <c r="CS22" s="155"/>
      <c r="CT22" s="155"/>
      <c r="CU22" s="155"/>
      <c r="CV22" s="155"/>
      <c r="CW22" s="155"/>
      <c r="CX22" s="155"/>
      <c r="CY22" s="155"/>
      <c r="CZ22" s="155"/>
      <c r="DA22" s="155"/>
      <c r="DB22" s="155"/>
      <c r="DC22" s="155"/>
      <c r="DD22" s="155"/>
      <c r="DE22" s="155"/>
      <c r="DF22" s="155"/>
      <c r="DG22" s="155"/>
      <c r="DH22" s="155"/>
      <c r="DI22" s="155"/>
      <c r="DJ22" s="155"/>
      <c r="DK22" s="155"/>
      <c r="DL22" s="155"/>
      <c r="DM22" s="155"/>
      <c r="DN22" s="155"/>
      <c r="DO22" s="156"/>
      <c r="DP22" s="264"/>
      <c r="DQ22" s="701"/>
      <c r="DR22" s="701"/>
      <c r="DS22" s="39"/>
      <c r="DT22" s="39"/>
      <c r="DU22" s="39"/>
      <c r="DV22" s="39"/>
      <c r="DW22" s="25"/>
      <c r="DX22" s="25"/>
      <c r="DY22" s="264"/>
      <c r="DZ22" s="264"/>
      <c r="EA22" s="264"/>
      <c r="EB22" s="264"/>
      <c r="EC22" s="264"/>
      <c r="ED22" s="264"/>
      <c r="EE22" s="264"/>
      <c r="EF22" s="264"/>
      <c r="EG22" s="264"/>
      <c r="EH22" s="264"/>
    </row>
    <row r="23" spans="2:138" s="41" customFormat="1" ht="12" customHeight="1">
      <c r="B23" s="161"/>
      <c r="C23" s="423"/>
      <c r="D23" s="162"/>
      <c r="E23" s="699" t="str">
        <f>VLOOKUP("1.1geometrie, maßprüfung",Translations!$A:$T,MATCH(DR19,Translations!A2:P2,0),0)</f>
        <v>1.1 Geometry, dimensional check</v>
      </c>
      <c r="F23" s="699"/>
      <c r="G23" s="699"/>
      <c r="H23" s="699"/>
      <c r="I23" s="699"/>
      <c r="J23" s="157"/>
      <c r="K23" s="471"/>
      <c r="L23" s="157"/>
      <c r="M23" s="699" t="str">
        <f>VLOOKUP("1.9esd prüfung",Translations!$A:$T,MATCH(DR19,Translations!A2:P2,0),0)</f>
        <v>1.9 ESD test</v>
      </c>
      <c r="N23" s="699"/>
      <c r="O23" s="699"/>
      <c r="P23" s="699"/>
      <c r="Q23" s="699"/>
      <c r="R23" s="699"/>
      <c r="S23" s="699"/>
      <c r="T23" s="699"/>
      <c r="U23" s="699"/>
      <c r="V23" s="699"/>
      <c r="W23" s="186"/>
      <c r="X23" s="157"/>
      <c r="Y23" s="423"/>
      <c r="Z23" s="165"/>
      <c r="AB23" s="750" t="str">
        <f>VLOOKUP("8softwareprüfbericht",Translations!$A:$T,MATCH(DR19,Translations!A2:P2,0),0)</f>
        <v>8 Software test report</v>
      </c>
      <c r="AC23" s="750"/>
      <c r="AD23" s="750"/>
      <c r="AE23" s="750"/>
      <c r="AF23" s="750"/>
      <c r="AG23" s="750"/>
      <c r="AH23" s="750"/>
      <c r="AI23" s="750"/>
      <c r="AJ23" s="750"/>
      <c r="AK23" s="750"/>
      <c r="AL23" s="750"/>
      <c r="AM23" s="750"/>
      <c r="AN23" s="750"/>
      <c r="AO23" s="750"/>
      <c r="AP23" s="750"/>
      <c r="AQ23" s="750"/>
      <c r="AR23" s="750"/>
      <c r="AS23" s="750"/>
      <c r="AT23" s="750"/>
      <c r="AU23" s="750"/>
      <c r="AV23" s="750"/>
      <c r="AW23" s="750"/>
      <c r="AX23" s="750"/>
      <c r="AY23" s="750"/>
      <c r="AZ23" s="750"/>
      <c r="BA23" s="750"/>
      <c r="BB23" s="750"/>
      <c r="BC23" s="750"/>
      <c r="BD23" s="750"/>
      <c r="BE23" s="750"/>
      <c r="BF23" s="750"/>
      <c r="BG23" s="750"/>
      <c r="BH23" s="750"/>
      <c r="BI23" s="750"/>
      <c r="BJ23" s="750"/>
      <c r="BK23" s="750"/>
      <c r="BL23" s="750"/>
      <c r="BM23" s="750"/>
      <c r="BN23" s="750"/>
      <c r="BO23" s="750"/>
      <c r="BP23" s="155"/>
      <c r="BQ23" s="157"/>
      <c r="BR23" s="471"/>
      <c r="BS23" s="165"/>
      <c r="BU23" s="868" t="str">
        <f>VLOOKUP("16werkzeugübersicht",Translations!$A:$T,MATCH(DR19,Translations!A2:P2,0),0)</f>
        <v>16 Tooling list</v>
      </c>
      <c r="BV23" s="868"/>
      <c r="BW23" s="868"/>
      <c r="BX23" s="868"/>
      <c r="BY23" s="868"/>
      <c r="BZ23" s="868"/>
      <c r="CA23" s="868"/>
      <c r="CB23" s="868"/>
      <c r="CC23" s="868"/>
      <c r="CD23" s="868"/>
      <c r="CE23" s="868"/>
      <c r="CF23" s="868"/>
      <c r="CG23" s="868"/>
      <c r="CH23" s="868"/>
      <c r="CI23" s="868"/>
      <c r="CJ23" s="868"/>
      <c r="CK23" s="868"/>
      <c r="CL23" s="868"/>
      <c r="CM23" s="868"/>
      <c r="CN23" s="868"/>
      <c r="CO23" s="868"/>
      <c r="CP23" s="868"/>
      <c r="CQ23" s="868"/>
      <c r="CR23" s="868"/>
      <c r="CS23" s="868"/>
      <c r="CT23" s="868"/>
      <c r="CU23" s="868"/>
      <c r="CV23" s="868"/>
      <c r="CW23" s="868"/>
      <c r="CX23" s="868"/>
      <c r="CY23" s="868"/>
      <c r="CZ23" s="868"/>
      <c r="DA23" s="868"/>
      <c r="DB23" s="868"/>
      <c r="DC23" s="868"/>
      <c r="DD23" s="868"/>
      <c r="DE23" s="868"/>
      <c r="DF23" s="868"/>
      <c r="DG23" s="868"/>
      <c r="DH23" s="868"/>
      <c r="DI23" s="868"/>
      <c r="DJ23" s="868"/>
      <c r="DK23" s="868"/>
      <c r="DL23" s="868"/>
      <c r="DM23" s="868"/>
      <c r="DN23" s="868"/>
      <c r="DO23" s="869"/>
      <c r="DP23" s="264"/>
      <c r="DQ23" s="701"/>
      <c r="DR23" s="701"/>
      <c r="DS23" s="39"/>
      <c r="DT23" s="39"/>
      <c r="DU23" s="39"/>
      <c r="DV23" s="39"/>
      <c r="DW23" s="25"/>
      <c r="DX23" s="25"/>
      <c r="DY23" s="264"/>
      <c r="DZ23" s="264"/>
      <c r="EA23" s="264"/>
      <c r="EB23" s="264"/>
      <c r="EC23" s="264"/>
      <c r="ED23" s="264"/>
      <c r="EE23" s="264"/>
      <c r="EF23" s="264"/>
      <c r="EG23" s="264"/>
      <c r="EH23" s="264"/>
    </row>
    <row r="24" spans="2:138" s="41" customFormat="1" ht="2.25" customHeight="1">
      <c r="B24" s="161"/>
      <c r="C24" s="469"/>
      <c r="D24" s="157"/>
      <c r="E24" s="100"/>
      <c r="F24" s="100"/>
      <c r="G24" s="100"/>
      <c r="H24" s="100"/>
      <c r="I24" s="100"/>
      <c r="J24" s="157"/>
      <c r="K24" s="472"/>
      <c r="L24" s="157"/>
      <c r="M24" s="100"/>
      <c r="N24" s="100"/>
      <c r="O24" s="100"/>
      <c r="P24" s="100"/>
      <c r="Q24" s="100"/>
      <c r="R24" s="100"/>
      <c r="S24" s="100"/>
      <c r="T24" s="100"/>
      <c r="U24" s="100"/>
      <c r="V24" s="100"/>
      <c r="W24" s="155"/>
      <c r="X24" s="157"/>
      <c r="Y24" s="469"/>
      <c r="Z24" s="165"/>
      <c r="AB24" s="100"/>
      <c r="AC24" s="155"/>
      <c r="AG24" s="155"/>
      <c r="AH24" s="155"/>
      <c r="AI24" s="155"/>
      <c r="AJ24" s="155"/>
      <c r="AK24" s="155"/>
      <c r="AL24" s="155"/>
      <c r="AM24" s="155"/>
      <c r="AN24" s="155"/>
      <c r="AO24" s="155"/>
      <c r="AP24" s="155"/>
      <c r="AQ24" s="155"/>
      <c r="AR24" s="155"/>
      <c r="AS24" s="155"/>
      <c r="AT24" s="155"/>
      <c r="AU24" s="155"/>
      <c r="AV24" s="155"/>
      <c r="AW24" s="155"/>
      <c r="AX24" s="155"/>
      <c r="AY24" s="155"/>
      <c r="AZ24" s="155"/>
      <c r="BA24" s="155"/>
      <c r="BB24" s="155"/>
      <c r="BC24" s="155"/>
      <c r="BD24" s="155"/>
      <c r="BE24" s="155"/>
      <c r="BF24" s="155"/>
      <c r="BG24" s="155"/>
      <c r="BH24" s="155"/>
      <c r="BI24" s="155"/>
      <c r="BJ24" s="155"/>
      <c r="BK24" s="155"/>
      <c r="BL24" s="155"/>
      <c r="BM24" s="155"/>
      <c r="BN24" s="155"/>
      <c r="BO24" s="155"/>
      <c r="BP24" s="155"/>
      <c r="BQ24" s="157"/>
      <c r="BR24" s="472"/>
      <c r="BS24" s="165"/>
      <c r="BW24" s="155"/>
      <c r="BX24" s="155"/>
      <c r="BY24" s="155"/>
      <c r="BZ24" s="155"/>
      <c r="CA24" s="155"/>
      <c r="CB24" s="155"/>
      <c r="CC24" s="155"/>
      <c r="CD24" s="155"/>
      <c r="CE24" s="155"/>
      <c r="CF24" s="155"/>
      <c r="CG24" s="155"/>
      <c r="CH24" s="155"/>
      <c r="CI24" s="155"/>
      <c r="CJ24" s="155"/>
      <c r="CK24" s="155"/>
      <c r="CL24" s="155"/>
      <c r="CM24" s="155"/>
      <c r="CN24" s="155"/>
      <c r="CO24" s="155"/>
      <c r="CP24" s="155"/>
      <c r="CQ24" s="155"/>
      <c r="CR24" s="155"/>
      <c r="CS24" s="155"/>
      <c r="CT24" s="155"/>
      <c r="CU24" s="155"/>
      <c r="CV24" s="155"/>
      <c r="CW24" s="155"/>
      <c r="CX24" s="155"/>
      <c r="CY24" s="155"/>
      <c r="CZ24" s="155"/>
      <c r="DA24" s="155"/>
      <c r="DB24" s="155"/>
      <c r="DC24" s="155"/>
      <c r="DD24" s="155"/>
      <c r="DE24" s="155"/>
      <c r="DF24" s="155"/>
      <c r="DG24" s="155"/>
      <c r="DH24" s="155"/>
      <c r="DI24" s="155"/>
      <c r="DJ24" s="155"/>
      <c r="DK24" s="155"/>
      <c r="DL24" s="155"/>
      <c r="DM24" s="155"/>
      <c r="DN24" s="155"/>
      <c r="DO24" s="156"/>
      <c r="DP24" s="264"/>
      <c r="DQ24" s="25"/>
      <c r="DR24" s="25"/>
      <c r="DS24" s="39"/>
      <c r="DT24" s="39"/>
      <c r="DU24" s="39"/>
      <c r="DV24" s="39"/>
      <c r="DW24" s="25"/>
      <c r="DX24" s="25"/>
      <c r="DY24" s="264"/>
      <c r="DZ24" s="264"/>
      <c r="EA24" s="264"/>
      <c r="EB24" s="264"/>
      <c r="EC24" s="264"/>
      <c r="ED24" s="264"/>
      <c r="EE24" s="264"/>
      <c r="EF24" s="264"/>
      <c r="EG24" s="264"/>
      <c r="EH24" s="264"/>
    </row>
    <row r="25" spans="2:138" ht="12" customHeight="1">
      <c r="B25" s="42"/>
      <c r="C25" s="423"/>
      <c r="D25" s="163"/>
      <c r="E25" s="698" t="str">
        <f>VLOOKUP("1.2funktionsprüfung",Translations!$A:$T,MATCH(DR19,Translations!A2:P2,0),0)</f>
        <v>1.2 Function check</v>
      </c>
      <c r="F25" s="698"/>
      <c r="G25" s="698"/>
      <c r="H25" s="698"/>
      <c r="I25" s="698"/>
      <c r="J25" s="158"/>
      <c r="K25" s="471"/>
      <c r="L25" s="31"/>
      <c r="M25" s="699" t="str">
        <f>VLOOKUP("1.10zuverlässigkeitsprüfungen",Translations!$A:$T,MATCH(DR19,Translations!A2:P2,0),0)</f>
        <v>1.10 Reliability tests</v>
      </c>
      <c r="N25" s="699"/>
      <c r="O25" s="699"/>
      <c r="P25" s="699"/>
      <c r="Q25" s="699"/>
      <c r="R25" s="699"/>
      <c r="S25" s="699"/>
      <c r="T25" s="699"/>
      <c r="U25" s="699"/>
      <c r="V25" s="699"/>
      <c r="W25" s="186"/>
      <c r="X25" s="162"/>
      <c r="Y25" s="423"/>
      <c r="Z25" s="165"/>
      <c r="AB25" s="699" t="str">
        <f>VLOOKUP("9prozessfmea",Translations!$A:$T,MATCH(DR19,Translations!A2:P2,0),0)</f>
        <v>9 Process – FMEA</v>
      </c>
      <c r="AC25" s="699"/>
      <c r="AD25" s="699"/>
      <c r="AE25" s="699"/>
      <c r="AF25" s="699"/>
      <c r="AG25" s="699"/>
      <c r="AH25" s="699"/>
      <c r="AI25" s="699"/>
      <c r="AJ25" s="699"/>
      <c r="AK25" s="699"/>
      <c r="AL25" s="699"/>
      <c r="AM25" s="699"/>
      <c r="AN25" s="699"/>
      <c r="AO25" s="699"/>
      <c r="AP25" s="699"/>
      <c r="AQ25" s="699"/>
      <c r="AR25" s="699"/>
      <c r="AS25" s="699"/>
      <c r="AT25" s="699"/>
      <c r="AU25" s="699"/>
      <c r="AV25" s="699"/>
      <c r="AW25" s="699"/>
      <c r="AX25" s="699"/>
      <c r="AY25" s="699"/>
      <c r="AZ25" s="699"/>
      <c r="BA25" s="699"/>
      <c r="BB25" s="699"/>
      <c r="BC25" s="699"/>
      <c r="BD25" s="699"/>
      <c r="BE25" s="699"/>
      <c r="BF25" s="699"/>
      <c r="BG25" s="699"/>
      <c r="BH25" s="699"/>
      <c r="BI25" s="699"/>
      <c r="BJ25" s="699"/>
      <c r="BK25" s="699"/>
      <c r="BL25" s="699"/>
      <c r="BM25" s="699"/>
      <c r="BN25" s="699"/>
      <c r="BO25" s="699"/>
      <c r="BP25" s="231"/>
      <c r="BQ25" s="162"/>
      <c r="BR25" s="471"/>
      <c r="BS25" s="165"/>
      <c r="BU25" s="699" t="str">
        <f>VLOOKUP("17nachweis vereinbarte kapazität ",Translations!$A:$T,MATCH(DR19,Translations!A2:P2,0),0)</f>
        <v>17 Confirmation of agreed capacity</v>
      </c>
      <c r="BV25" s="699"/>
      <c r="BW25" s="699"/>
      <c r="BX25" s="699"/>
      <c r="BY25" s="699"/>
      <c r="BZ25" s="699"/>
      <c r="CA25" s="699"/>
      <c r="CB25" s="699"/>
      <c r="CC25" s="699"/>
      <c r="CD25" s="699"/>
      <c r="CE25" s="699"/>
      <c r="CF25" s="699"/>
      <c r="CG25" s="699"/>
      <c r="CH25" s="699"/>
      <c r="CI25" s="699"/>
      <c r="CJ25" s="699"/>
      <c r="CK25" s="699"/>
      <c r="CL25" s="699"/>
      <c r="CM25" s="699"/>
      <c r="CN25" s="699"/>
      <c r="CO25" s="699"/>
      <c r="CP25" s="699"/>
      <c r="CQ25" s="699"/>
      <c r="CR25" s="699"/>
      <c r="CS25" s="699"/>
      <c r="CT25" s="699"/>
      <c r="CU25" s="699"/>
      <c r="CV25" s="699"/>
      <c r="CW25" s="699"/>
      <c r="CX25" s="699"/>
      <c r="CY25" s="699"/>
      <c r="CZ25" s="699"/>
      <c r="DA25" s="699"/>
      <c r="DB25" s="699"/>
      <c r="DC25" s="699"/>
      <c r="DD25" s="699"/>
      <c r="DE25" s="699"/>
      <c r="DF25" s="699"/>
      <c r="DG25" s="699"/>
      <c r="DH25" s="699"/>
      <c r="DI25" s="699"/>
      <c r="DJ25" s="699"/>
      <c r="DK25" s="699"/>
      <c r="DL25" s="699"/>
      <c r="DM25" s="699"/>
      <c r="DN25" s="699"/>
      <c r="DO25" s="700"/>
      <c r="DP25" s="113"/>
      <c r="DR25"/>
      <c r="DS25" s="39"/>
      <c r="DT25" s="39"/>
      <c r="DU25" s="39"/>
      <c r="DV25" s="39"/>
      <c r="DW25" s="25"/>
      <c r="DX25" s="25"/>
      <c r="DY25" s="113"/>
      <c r="DZ25" s="113"/>
      <c r="EA25" s="113"/>
      <c r="EB25" s="113"/>
      <c r="EC25" s="113"/>
      <c r="ED25" s="113"/>
      <c r="EE25" s="113"/>
      <c r="EF25" s="113"/>
      <c r="EG25" s="113"/>
      <c r="EH25" s="113"/>
    </row>
    <row r="26" spans="2:138" ht="2.25" customHeight="1">
      <c r="B26" s="42"/>
      <c r="C26" s="470"/>
      <c r="D26" s="31"/>
      <c r="E26" s="747"/>
      <c r="F26" s="747"/>
      <c r="G26" s="747"/>
      <c r="H26" s="747"/>
      <c r="I26" s="747"/>
      <c r="J26" s="158"/>
      <c r="K26" s="473"/>
      <c r="L26" s="31"/>
      <c r="W26" s="41"/>
      <c r="X26" s="159"/>
      <c r="Y26" s="470"/>
      <c r="Z26" s="165"/>
      <c r="AC26" s="41"/>
      <c r="AG26" s="96"/>
      <c r="AH26" s="100"/>
      <c r="AI26" s="100"/>
      <c r="AJ26" s="100"/>
      <c r="AK26" s="100"/>
      <c r="AL26" s="100"/>
      <c r="AM26" s="100"/>
      <c r="AN26" s="100"/>
      <c r="AO26" s="100"/>
      <c r="AP26" s="100"/>
      <c r="AQ26" s="100"/>
      <c r="AR26" s="100"/>
      <c r="AS26" s="100"/>
      <c r="AT26" s="100"/>
      <c r="AU26" s="100"/>
      <c r="AV26" s="100"/>
      <c r="AW26" s="100"/>
      <c r="AX26" s="100"/>
      <c r="AY26" s="100"/>
      <c r="AZ26" s="100"/>
      <c r="BA26" s="100"/>
      <c r="BB26" s="100"/>
      <c r="BC26" s="100"/>
      <c r="BD26" s="100"/>
      <c r="BE26" s="100"/>
      <c r="BF26" s="100"/>
      <c r="BG26" s="100"/>
      <c r="BH26" s="100"/>
      <c r="BI26" s="100"/>
      <c r="BJ26" s="100"/>
      <c r="BK26" s="100"/>
      <c r="BL26" s="100"/>
      <c r="BM26" s="100"/>
      <c r="BN26" s="100"/>
      <c r="BO26" s="100"/>
      <c r="BP26" s="160"/>
      <c r="BQ26" s="31"/>
      <c r="BR26" s="474"/>
      <c r="BS26" s="165"/>
      <c r="BW26" s="96"/>
      <c r="BX26" s="100"/>
      <c r="BY26" s="100"/>
      <c r="BZ26" s="100"/>
      <c r="CA26" s="100"/>
      <c r="CB26" s="100"/>
      <c r="CC26" s="100"/>
      <c r="CD26" s="100"/>
      <c r="CE26" s="100"/>
      <c r="CF26" s="100"/>
      <c r="CG26" s="100"/>
      <c r="CH26" s="100"/>
      <c r="CI26" s="100"/>
      <c r="CJ26" s="100"/>
      <c r="CK26" s="100"/>
      <c r="CL26" s="100"/>
      <c r="CM26" s="100"/>
      <c r="CN26" s="100"/>
      <c r="CO26" s="100"/>
      <c r="CP26" s="100"/>
      <c r="CQ26" s="100"/>
      <c r="CR26" s="100"/>
      <c r="CS26" s="100"/>
      <c r="CT26" s="100"/>
      <c r="CU26" s="100"/>
      <c r="CV26" s="100"/>
      <c r="CW26" s="100"/>
      <c r="CX26" s="100"/>
      <c r="CY26" s="100"/>
      <c r="CZ26" s="100"/>
      <c r="DA26" s="100"/>
      <c r="DB26" s="100"/>
      <c r="DC26" s="100"/>
      <c r="DD26" s="100"/>
      <c r="DE26" s="100"/>
      <c r="DF26" s="100"/>
      <c r="DG26" s="100"/>
      <c r="DH26" s="100"/>
      <c r="DI26" s="100"/>
      <c r="DJ26" s="100"/>
      <c r="DK26" s="100"/>
      <c r="DL26" s="100"/>
      <c r="DM26" s="100"/>
      <c r="DN26" s="100"/>
      <c r="DO26" s="232"/>
      <c r="DP26" s="113"/>
      <c r="DR26" s="265"/>
      <c r="DS26" s="39"/>
      <c r="DT26" s="39"/>
      <c r="DU26" s="39"/>
      <c r="DV26" s="39"/>
      <c r="DW26" s="25"/>
      <c r="DX26" s="25"/>
      <c r="DY26" s="113"/>
      <c r="DZ26" s="113"/>
      <c r="EA26" s="113"/>
      <c r="EB26" s="113"/>
      <c r="EC26" s="113"/>
      <c r="ED26" s="113"/>
      <c r="EE26" s="113"/>
      <c r="EF26" s="113"/>
      <c r="EG26" s="113"/>
      <c r="EH26" s="113"/>
    </row>
    <row r="27" spans="2:138" ht="12" customHeight="1">
      <c r="B27" s="42"/>
      <c r="C27" s="423"/>
      <c r="D27" s="163"/>
      <c r="E27" s="699" t="str">
        <f>VLOOKUP("1.3werkstoffprüfung",Translations!$A:$T,MATCH(DR19,Translations!A2:P2,0),0)</f>
        <v>1.3 Material check</v>
      </c>
      <c r="F27" s="699"/>
      <c r="G27" s="699"/>
      <c r="H27" s="699"/>
      <c r="I27" s="699"/>
      <c r="J27" s="158"/>
      <c r="K27" s="471"/>
      <c r="L27" s="31"/>
      <c r="M27" s="699" t="str">
        <f>VLOOKUP("2muster",Translations!$A:$T,MATCH(DR19,Translations!A2:P2,0),0)</f>
        <v>2 Samples</v>
      </c>
      <c r="N27" s="699"/>
      <c r="O27" s="699"/>
      <c r="P27" s="699"/>
      <c r="Q27" s="699"/>
      <c r="R27" s="699"/>
      <c r="S27" s="699"/>
      <c r="T27" s="699"/>
      <c r="U27" s="699"/>
      <c r="V27" s="699"/>
      <c r="W27" s="186"/>
      <c r="X27" s="162"/>
      <c r="Y27" s="423"/>
      <c r="Z27" s="165"/>
      <c r="AB27" s="699" t="str">
        <f>VLOOKUP("10prozeßablaufdiagramm",Translations!$A:$T,MATCH(DR19,Translations!A2:P2,0),0)</f>
        <v>10 Process flow chart</v>
      </c>
      <c r="AC27" s="699"/>
      <c r="AD27" s="699"/>
      <c r="AE27" s="699"/>
      <c r="AF27" s="699"/>
      <c r="AG27" s="699"/>
      <c r="AH27" s="699"/>
      <c r="AI27" s="699"/>
      <c r="AJ27" s="699"/>
      <c r="AK27" s="699"/>
      <c r="AL27" s="699"/>
      <c r="AM27" s="699"/>
      <c r="AN27" s="699"/>
      <c r="AO27" s="699"/>
      <c r="AP27" s="699"/>
      <c r="AQ27" s="699"/>
      <c r="AR27" s="699"/>
      <c r="AS27" s="699"/>
      <c r="AT27" s="699"/>
      <c r="AU27" s="699"/>
      <c r="AV27" s="699"/>
      <c r="AW27" s="699"/>
      <c r="AX27" s="699"/>
      <c r="AY27" s="699"/>
      <c r="AZ27" s="699"/>
      <c r="BA27" s="699"/>
      <c r="BB27" s="699"/>
      <c r="BC27" s="699"/>
      <c r="BD27" s="699"/>
      <c r="BE27" s="699"/>
      <c r="BF27" s="699"/>
      <c r="BG27" s="699"/>
      <c r="BH27" s="699"/>
      <c r="BI27" s="699"/>
      <c r="BJ27" s="699"/>
      <c r="BK27" s="699"/>
      <c r="BL27" s="699"/>
      <c r="BM27" s="699"/>
      <c r="BN27" s="699"/>
      <c r="BO27" s="699"/>
      <c r="BP27" s="231"/>
      <c r="BQ27" s="162"/>
      <c r="BR27" s="471"/>
      <c r="BS27" s="165"/>
      <c r="BU27" s="699" t="str">
        <f>VLOOKUP("18schriftlicheselbstbewertung",Translations!$A:$T,MATCH(DR19,Translations!A2:P2,0),0)</f>
        <v>18 Written self-assessment</v>
      </c>
      <c r="BV27" s="699"/>
      <c r="BW27" s="699"/>
      <c r="BX27" s="699"/>
      <c r="BY27" s="699"/>
      <c r="BZ27" s="699"/>
      <c r="CA27" s="699"/>
      <c r="CB27" s="699"/>
      <c r="CC27" s="699"/>
      <c r="CD27" s="699"/>
      <c r="CE27" s="699"/>
      <c r="CF27" s="699"/>
      <c r="CG27" s="699"/>
      <c r="CH27" s="699"/>
      <c r="CI27" s="699"/>
      <c r="CJ27" s="699"/>
      <c r="CK27" s="699"/>
      <c r="CL27" s="699"/>
      <c r="CM27" s="699"/>
      <c r="CN27" s="699"/>
      <c r="CO27" s="699"/>
      <c r="CP27" s="699"/>
      <c r="CQ27" s="699"/>
      <c r="CR27" s="699"/>
      <c r="CS27" s="699"/>
      <c r="CT27" s="699"/>
      <c r="CU27" s="699"/>
      <c r="CV27" s="699"/>
      <c r="CW27" s="699"/>
      <c r="CX27" s="699"/>
      <c r="CY27" s="699"/>
      <c r="CZ27" s="699"/>
      <c r="DA27" s="699"/>
      <c r="DB27" s="699"/>
      <c r="DC27" s="699"/>
      <c r="DD27" s="699"/>
      <c r="DE27" s="699"/>
      <c r="DF27" s="699"/>
      <c r="DG27" s="699"/>
      <c r="DH27" s="699"/>
      <c r="DI27" s="699"/>
      <c r="DJ27" s="699"/>
      <c r="DK27" s="699"/>
      <c r="DL27" s="699"/>
      <c r="DM27" s="699"/>
      <c r="DN27" s="699"/>
      <c r="DO27" s="700"/>
      <c r="DP27" s="113"/>
      <c r="DR27" s="25"/>
      <c r="DS27" s="39"/>
      <c r="DT27" s="39"/>
      <c r="DU27" s="39"/>
      <c r="DV27" s="39"/>
      <c r="DW27" s="25"/>
      <c r="DX27" s="25"/>
      <c r="DY27" s="113"/>
      <c r="DZ27" s="113"/>
      <c r="EA27" s="113"/>
      <c r="EB27" s="113"/>
      <c r="EC27" s="113"/>
      <c r="ED27" s="113"/>
      <c r="EE27" s="113"/>
      <c r="EF27" s="113"/>
      <c r="EG27" s="113"/>
      <c r="EH27" s="113"/>
    </row>
    <row r="28" spans="2:138" ht="2.25" customHeight="1">
      <c r="B28" s="42"/>
      <c r="C28" s="470"/>
      <c r="D28" s="31"/>
      <c r="E28" s="140"/>
      <c r="F28" s="140"/>
      <c r="G28" s="140"/>
      <c r="H28" s="140"/>
      <c r="I28" s="140"/>
      <c r="J28" s="158"/>
      <c r="K28" s="473"/>
      <c r="L28" s="31"/>
      <c r="M28" s="148"/>
      <c r="N28" s="148"/>
      <c r="O28" s="148"/>
      <c r="P28" s="148"/>
      <c r="Q28" s="148"/>
      <c r="R28" s="148"/>
      <c r="S28" s="148"/>
      <c r="T28" s="148"/>
      <c r="U28" s="148"/>
      <c r="V28" s="148"/>
      <c r="W28" s="186"/>
      <c r="X28" s="159"/>
      <c r="Y28" s="470"/>
      <c r="Z28" s="165"/>
      <c r="AB28" s="148"/>
      <c r="AC28" s="186"/>
      <c r="AG28" s="96"/>
      <c r="AH28" s="148"/>
      <c r="AI28" s="148"/>
      <c r="AJ28" s="148"/>
      <c r="AK28" s="148"/>
      <c r="AL28" s="148"/>
      <c r="AM28" s="148"/>
      <c r="AN28" s="148"/>
      <c r="AO28" s="148"/>
      <c r="AP28" s="148"/>
      <c r="AQ28" s="148"/>
      <c r="AR28" s="148"/>
      <c r="AS28" s="148"/>
      <c r="AT28" s="148"/>
      <c r="AU28" s="148"/>
      <c r="AV28" s="148"/>
      <c r="AW28" s="148"/>
      <c r="AX28" s="148"/>
      <c r="AY28" s="148"/>
      <c r="AZ28" s="148"/>
      <c r="BA28" s="148"/>
      <c r="BB28" s="148"/>
      <c r="BC28" s="148"/>
      <c r="BD28" s="148"/>
      <c r="BE28" s="148"/>
      <c r="BF28" s="148"/>
      <c r="BG28" s="148"/>
      <c r="BH28" s="148"/>
      <c r="BI28" s="148"/>
      <c r="BJ28" s="148"/>
      <c r="BK28" s="148"/>
      <c r="BL28" s="148"/>
      <c r="BM28" s="148"/>
      <c r="BN28" s="148"/>
      <c r="BO28" s="148"/>
      <c r="BP28" s="160"/>
      <c r="BQ28" s="31"/>
      <c r="BR28" s="474"/>
      <c r="BS28" s="165"/>
      <c r="BW28" s="96"/>
      <c r="BX28" s="148"/>
      <c r="BY28" s="148"/>
      <c r="BZ28" s="148"/>
      <c r="CA28" s="148"/>
      <c r="CB28" s="148"/>
      <c r="CC28" s="148"/>
      <c r="CD28" s="148"/>
      <c r="CE28" s="148"/>
      <c r="CF28" s="148"/>
      <c r="CG28" s="148"/>
      <c r="CH28" s="148"/>
      <c r="CI28" s="148"/>
      <c r="CJ28" s="148"/>
      <c r="CK28" s="148"/>
      <c r="CL28" s="148"/>
      <c r="CM28" s="148"/>
      <c r="CN28" s="148"/>
      <c r="CO28" s="148"/>
      <c r="CP28" s="148"/>
      <c r="CQ28" s="148"/>
      <c r="CR28" s="148"/>
      <c r="CS28" s="148"/>
      <c r="CT28" s="148"/>
      <c r="CU28" s="148"/>
      <c r="CV28" s="148"/>
      <c r="CW28" s="148"/>
      <c r="CX28" s="148"/>
      <c r="CY28" s="148"/>
      <c r="CZ28" s="148"/>
      <c r="DA28" s="148"/>
      <c r="DB28" s="148"/>
      <c r="DC28" s="148"/>
      <c r="DD28" s="148"/>
      <c r="DE28" s="148"/>
      <c r="DF28" s="148"/>
      <c r="DG28" s="148"/>
      <c r="DH28" s="148"/>
      <c r="DI28" s="148"/>
      <c r="DJ28" s="148"/>
      <c r="DK28" s="148"/>
      <c r="DL28" s="148"/>
      <c r="DM28" s="148"/>
      <c r="DN28" s="148"/>
      <c r="DO28" s="149"/>
      <c r="DP28" s="113"/>
      <c r="DR28" s="25"/>
      <c r="DS28" s="39"/>
      <c r="DT28" s="39"/>
      <c r="DU28" s="39"/>
      <c r="DV28" s="39"/>
      <c r="DW28" s="25"/>
      <c r="DX28" s="25"/>
      <c r="DY28" s="113"/>
      <c r="DZ28" s="113"/>
      <c r="EA28" s="113"/>
      <c r="EB28" s="113"/>
      <c r="EC28" s="113"/>
      <c r="ED28" s="113"/>
      <c r="EE28" s="113"/>
      <c r="EF28" s="113"/>
      <c r="EG28" s="113"/>
      <c r="EH28" s="113"/>
    </row>
    <row r="29" spans="2:138" ht="12" customHeight="1">
      <c r="B29" s="42"/>
      <c r="C29" s="423"/>
      <c r="D29" s="163"/>
      <c r="E29" s="699" t="str">
        <f>VLOOKUP("1.4haptikprüfung",Translations!$A:$T,MATCH(DR19,Translations!A2:P2,0),0)</f>
        <v>1.4 Haptics check</v>
      </c>
      <c r="F29" s="699"/>
      <c r="G29" s="699"/>
      <c r="H29" s="699"/>
      <c r="I29" s="699"/>
      <c r="J29" s="158"/>
      <c r="K29" s="471"/>
      <c r="L29" s="31"/>
      <c r="M29" s="699" t="str">
        <f>VLOOKUP("3technischespezifikationen",Translations!$A:$T,MATCH(DR19,Translations!A2:P2,0),0)</f>
        <v>3 Technical specifications</v>
      </c>
      <c r="N29" s="699"/>
      <c r="O29" s="699"/>
      <c r="P29" s="699"/>
      <c r="Q29" s="699"/>
      <c r="R29" s="699"/>
      <c r="S29" s="699"/>
      <c r="T29" s="699"/>
      <c r="U29" s="699"/>
      <c r="V29" s="699"/>
      <c r="W29" s="186"/>
      <c r="X29" s="162"/>
      <c r="Y29" s="423"/>
      <c r="Z29" s="165"/>
      <c r="AB29" s="699" t="str">
        <f>VLOOKUP("11produktionslenkungsplan",Translations!$A:$T,MATCH(DR19,Translations!A2:P2,0),0)</f>
        <v>11 Control plan</v>
      </c>
      <c r="AC29" s="699"/>
      <c r="AD29" s="699"/>
      <c r="AE29" s="699"/>
      <c r="AF29" s="699"/>
      <c r="AG29" s="699"/>
      <c r="AH29" s="699"/>
      <c r="AI29" s="699"/>
      <c r="AJ29" s="699"/>
      <c r="AK29" s="699"/>
      <c r="AL29" s="699"/>
      <c r="AM29" s="699"/>
      <c r="AN29" s="699"/>
      <c r="AO29" s="699"/>
      <c r="AP29" s="699"/>
      <c r="AQ29" s="699"/>
      <c r="AR29" s="699"/>
      <c r="AS29" s="699"/>
      <c r="AT29" s="699"/>
      <c r="AU29" s="699"/>
      <c r="AV29" s="699"/>
      <c r="AW29" s="699"/>
      <c r="AX29" s="699"/>
      <c r="AY29" s="699"/>
      <c r="AZ29" s="699"/>
      <c r="BA29" s="699"/>
      <c r="BB29" s="699"/>
      <c r="BC29" s="699"/>
      <c r="BD29" s="699"/>
      <c r="BE29" s="699"/>
      <c r="BF29" s="699"/>
      <c r="BG29" s="699"/>
      <c r="BH29" s="699"/>
      <c r="BI29" s="699"/>
      <c r="BJ29" s="699"/>
      <c r="BK29" s="699"/>
      <c r="BL29" s="699"/>
      <c r="BM29" s="699"/>
      <c r="BN29" s="699"/>
      <c r="BO29" s="699"/>
      <c r="BP29" s="231"/>
      <c r="BQ29" s="162"/>
      <c r="BR29" s="471"/>
      <c r="BS29" s="165"/>
      <c r="BU29" s="699" t="str">
        <f>VLOOKUP("19teilelebenslauf",Translations!$A:$T,MATCH(DR19,Translations!A2:P2,0),0)</f>
        <v>19 Part history</v>
      </c>
      <c r="BV29" s="699"/>
      <c r="BW29" s="699"/>
      <c r="BX29" s="699"/>
      <c r="BY29" s="699"/>
      <c r="BZ29" s="699"/>
      <c r="CA29" s="699"/>
      <c r="CB29" s="699"/>
      <c r="CC29" s="699"/>
      <c r="CD29" s="699"/>
      <c r="CE29" s="699"/>
      <c r="CF29" s="699"/>
      <c r="CG29" s="699"/>
      <c r="CH29" s="699"/>
      <c r="CI29" s="699"/>
      <c r="CJ29" s="699"/>
      <c r="CK29" s="699"/>
      <c r="CL29" s="699"/>
      <c r="CM29" s="699"/>
      <c r="CN29" s="699"/>
      <c r="CO29" s="699"/>
      <c r="CP29" s="699"/>
      <c r="CQ29" s="699"/>
      <c r="CR29" s="699"/>
      <c r="CS29" s="699"/>
      <c r="CT29" s="699"/>
      <c r="CU29" s="699"/>
      <c r="CV29" s="699"/>
      <c r="CW29" s="699"/>
      <c r="CX29" s="699"/>
      <c r="CY29" s="699"/>
      <c r="CZ29" s="699"/>
      <c r="DA29" s="699"/>
      <c r="DB29" s="699"/>
      <c r="DC29" s="699"/>
      <c r="DD29" s="699"/>
      <c r="DE29" s="699"/>
      <c r="DF29" s="699"/>
      <c r="DG29" s="699"/>
      <c r="DH29" s="699"/>
      <c r="DI29" s="699"/>
      <c r="DJ29" s="699"/>
      <c r="DK29" s="699"/>
      <c r="DL29" s="699"/>
      <c r="DM29" s="699"/>
      <c r="DN29" s="699"/>
      <c r="DO29" s="700"/>
      <c r="DP29" s="113"/>
      <c r="DR29" s="25"/>
      <c r="DS29" s="39"/>
      <c r="DT29" s="39"/>
      <c r="DU29" s="39"/>
      <c r="DV29" s="39"/>
      <c r="DW29" s="25"/>
      <c r="DX29" s="25"/>
      <c r="DY29" s="113"/>
      <c r="DZ29" s="113"/>
      <c r="EA29" s="113"/>
      <c r="EB29" s="113"/>
      <c r="EC29" s="113"/>
      <c r="ED29" s="113"/>
      <c r="EE29" s="113"/>
      <c r="EF29" s="113"/>
      <c r="EG29" s="113"/>
      <c r="EH29" s="113"/>
    </row>
    <row r="30" spans="2:138" ht="2.25" customHeight="1">
      <c r="B30" s="42"/>
      <c r="C30" s="470"/>
      <c r="D30" s="31"/>
      <c r="E30" s="100"/>
      <c r="F30" s="100"/>
      <c r="G30" s="100"/>
      <c r="H30" s="100"/>
      <c r="I30" s="100"/>
      <c r="J30" s="158"/>
      <c r="K30" s="274"/>
      <c r="L30" s="31"/>
      <c r="M30" s="148"/>
      <c r="N30" s="148"/>
      <c r="O30" s="148"/>
      <c r="P30" s="148"/>
      <c r="Q30" s="148"/>
      <c r="R30" s="148"/>
      <c r="S30" s="148"/>
      <c r="T30" s="148"/>
      <c r="U30" s="148"/>
      <c r="V30" s="148"/>
      <c r="W30" s="186"/>
      <c r="X30" s="159"/>
      <c r="Y30" s="470"/>
      <c r="Z30" s="165"/>
      <c r="AB30" s="148"/>
      <c r="AC30" s="186"/>
      <c r="AG30" s="96"/>
      <c r="AH30" s="148"/>
      <c r="AI30" s="148"/>
      <c r="AJ30" s="148"/>
      <c r="AK30" s="148"/>
      <c r="AL30" s="148"/>
      <c r="AM30" s="148"/>
      <c r="AN30" s="148"/>
      <c r="AO30" s="148"/>
      <c r="AP30" s="148"/>
      <c r="AQ30" s="148"/>
      <c r="AR30" s="148"/>
      <c r="AS30" s="148"/>
      <c r="AT30" s="148"/>
      <c r="AU30" s="148"/>
      <c r="AV30" s="148"/>
      <c r="AW30" s="148"/>
      <c r="AX30" s="148"/>
      <c r="AY30" s="148"/>
      <c r="AZ30" s="148"/>
      <c r="BA30" s="148"/>
      <c r="BB30" s="148"/>
      <c r="BC30" s="148"/>
      <c r="BD30" s="148"/>
      <c r="BE30" s="148"/>
      <c r="BF30" s="148"/>
      <c r="BG30" s="148"/>
      <c r="BH30" s="148"/>
      <c r="BI30" s="148"/>
      <c r="BJ30" s="148"/>
      <c r="BK30" s="148"/>
      <c r="BL30" s="148"/>
      <c r="BM30" s="148"/>
      <c r="BN30" s="148"/>
      <c r="BO30" s="148"/>
      <c r="BP30" s="160"/>
      <c r="BQ30" s="31"/>
      <c r="BR30" s="474"/>
      <c r="BS30" s="165"/>
      <c r="BW30" s="96"/>
      <c r="BX30" s="148"/>
      <c r="BY30" s="148"/>
      <c r="BZ30" s="148"/>
      <c r="CA30" s="148"/>
      <c r="CB30" s="148"/>
      <c r="CC30" s="148"/>
      <c r="CD30" s="148"/>
      <c r="CE30" s="148"/>
      <c r="CF30" s="148"/>
      <c r="CG30" s="148"/>
      <c r="CH30" s="148"/>
      <c r="CI30" s="148"/>
      <c r="CJ30" s="148"/>
      <c r="CK30" s="148"/>
      <c r="CL30" s="148"/>
      <c r="CM30" s="148"/>
      <c r="CN30" s="148"/>
      <c r="CO30" s="148"/>
      <c r="CP30" s="148"/>
      <c r="CQ30" s="148"/>
      <c r="CR30" s="148"/>
      <c r="CS30" s="148"/>
      <c r="CT30" s="148"/>
      <c r="CU30" s="148"/>
      <c r="CV30" s="148"/>
      <c r="CW30" s="148"/>
      <c r="CX30" s="148"/>
      <c r="CY30" s="148"/>
      <c r="CZ30" s="148"/>
      <c r="DA30" s="148"/>
      <c r="DB30" s="148"/>
      <c r="DC30" s="148"/>
      <c r="DD30" s="148"/>
      <c r="DE30" s="148"/>
      <c r="DF30" s="148"/>
      <c r="DG30" s="148"/>
      <c r="DH30" s="148"/>
      <c r="DI30" s="148"/>
      <c r="DJ30" s="148"/>
      <c r="DK30" s="148"/>
      <c r="DL30" s="148"/>
      <c r="DM30" s="148"/>
      <c r="DN30" s="148"/>
      <c r="DO30" s="149"/>
      <c r="DP30" s="113"/>
      <c r="DR30" s="25"/>
      <c r="DS30" s="39"/>
      <c r="DT30" s="39"/>
      <c r="DU30" s="39"/>
      <c r="DV30" s="39"/>
      <c r="DW30" s="25"/>
      <c r="DX30" s="25"/>
      <c r="DY30" s="113"/>
      <c r="DZ30" s="113"/>
      <c r="EA30" s="113"/>
      <c r="EB30" s="113"/>
      <c r="EC30" s="113"/>
      <c r="ED30" s="113"/>
      <c r="EE30" s="113"/>
      <c r="EF30" s="113"/>
      <c r="EG30" s="113"/>
      <c r="EH30" s="113"/>
    </row>
    <row r="31" spans="2:138" ht="12" customHeight="1">
      <c r="B31" s="42"/>
      <c r="C31" s="423"/>
      <c r="D31" s="163"/>
      <c r="E31" s="699" t="str">
        <f>VLOOKUP("1.5akustikprüfung",Translations!$A:$T,MATCH(DR19,Translations!A2:P2,0),0)</f>
        <v>1.5 Acoustics check</v>
      </c>
      <c r="F31" s="699"/>
      <c r="G31" s="699"/>
      <c r="H31" s="699"/>
      <c r="I31" s="699"/>
      <c r="J31" s="158"/>
      <c r="K31" s="471"/>
      <c r="L31" s="31"/>
      <c r="M31" s="699" t="str">
        <f>VLOOKUP("4produktfmea",Translations!$A:$T,MATCH(DR19,Translations!A2:P2,0),0)</f>
        <v>4 Product – FMEA</v>
      </c>
      <c r="N31" s="699"/>
      <c r="O31" s="699"/>
      <c r="P31" s="699"/>
      <c r="Q31" s="699"/>
      <c r="R31" s="699"/>
      <c r="S31" s="699"/>
      <c r="T31" s="699"/>
      <c r="U31" s="699"/>
      <c r="V31" s="699"/>
      <c r="W31" s="186"/>
      <c r="X31" s="162"/>
      <c r="Y31" s="423"/>
      <c r="Z31" s="165"/>
      <c r="AB31" s="699" t="str">
        <f>VLOOKUP("12prozeßfähigkeitsnachweis",Translations!$A:$T,MATCH(DR19,Translations!A2:P2,0),0)</f>
        <v>12 Confirmation of process capability</v>
      </c>
      <c r="AC31" s="699"/>
      <c r="AD31" s="699"/>
      <c r="AE31" s="699"/>
      <c r="AF31" s="699"/>
      <c r="AG31" s="699"/>
      <c r="AH31" s="699"/>
      <c r="AI31" s="699"/>
      <c r="AJ31" s="699"/>
      <c r="AK31" s="699"/>
      <c r="AL31" s="699"/>
      <c r="AM31" s="699"/>
      <c r="AN31" s="699"/>
      <c r="AO31" s="699"/>
      <c r="AP31" s="699"/>
      <c r="AQ31" s="699"/>
      <c r="AR31" s="699"/>
      <c r="AS31" s="699"/>
      <c r="AT31" s="699"/>
      <c r="AU31" s="699"/>
      <c r="AV31" s="699"/>
      <c r="AW31" s="699"/>
      <c r="AX31" s="699"/>
      <c r="AY31" s="699"/>
      <c r="AZ31" s="699"/>
      <c r="BA31" s="699"/>
      <c r="BB31" s="699"/>
      <c r="BC31" s="699"/>
      <c r="BD31" s="699"/>
      <c r="BE31" s="699"/>
      <c r="BF31" s="699"/>
      <c r="BG31" s="699"/>
      <c r="BH31" s="699"/>
      <c r="BI31" s="699"/>
      <c r="BJ31" s="699"/>
      <c r="BK31" s="699"/>
      <c r="BL31" s="699"/>
      <c r="BM31" s="699"/>
      <c r="BN31" s="699"/>
      <c r="BO31" s="699"/>
      <c r="BP31" s="231"/>
      <c r="BQ31" s="162"/>
      <c r="BR31" s="471"/>
      <c r="BS31" s="165"/>
      <c r="BU31" s="699" t="str">
        <f>VLOOKUP("20eignungsnachweisladungsträger",Translations!$A:$T,MATCH(DR19,Translations!A2:P2,0),0)</f>
        <v>20 Confirmation of suitability of transport equipment</v>
      </c>
      <c r="BV31" s="699"/>
      <c r="BW31" s="699"/>
      <c r="BX31" s="699"/>
      <c r="BY31" s="699"/>
      <c r="BZ31" s="699"/>
      <c r="CA31" s="699"/>
      <c r="CB31" s="699"/>
      <c r="CC31" s="699"/>
      <c r="CD31" s="699"/>
      <c r="CE31" s="699"/>
      <c r="CF31" s="699"/>
      <c r="CG31" s="699"/>
      <c r="CH31" s="699"/>
      <c r="CI31" s="699"/>
      <c r="CJ31" s="699"/>
      <c r="CK31" s="699"/>
      <c r="CL31" s="699"/>
      <c r="CM31" s="699"/>
      <c r="CN31" s="699"/>
      <c r="CO31" s="699"/>
      <c r="CP31" s="699"/>
      <c r="CQ31" s="699"/>
      <c r="CR31" s="699"/>
      <c r="CS31" s="699"/>
      <c r="CT31" s="699"/>
      <c r="CU31" s="699"/>
      <c r="CV31" s="699"/>
      <c r="CW31" s="699"/>
      <c r="CX31" s="699"/>
      <c r="CY31" s="699"/>
      <c r="CZ31" s="699"/>
      <c r="DA31" s="699"/>
      <c r="DB31" s="699"/>
      <c r="DC31" s="699"/>
      <c r="DD31" s="699"/>
      <c r="DE31" s="699"/>
      <c r="DF31" s="699"/>
      <c r="DG31" s="699"/>
      <c r="DH31" s="699"/>
      <c r="DI31" s="699"/>
      <c r="DJ31" s="699"/>
      <c r="DK31" s="699"/>
      <c r="DL31" s="699"/>
      <c r="DM31" s="699"/>
      <c r="DN31" s="699"/>
      <c r="DO31" s="700"/>
      <c r="DP31" s="113"/>
      <c r="DQ31" s="43"/>
      <c r="DR31" s="43"/>
      <c r="DS31" s="43"/>
      <c r="DT31" s="43"/>
      <c r="DU31" s="43"/>
      <c r="DV31" s="43"/>
      <c r="DW31" s="43"/>
      <c r="DX31" s="43"/>
      <c r="DY31" s="113"/>
      <c r="DZ31" s="113"/>
      <c r="EA31" s="113"/>
      <c r="EB31" s="113"/>
      <c r="EC31" s="113"/>
      <c r="ED31" s="113"/>
      <c r="EE31" s="113"/>
      <c r="EF31" s="113"/>
      <c r="EG31" s="113"/>
      <c r="EH31" s="113"/>
    </row>
    <row r="32" spans="2:138" ht="2.25" customHeight="1">
      <c r="B32" s="42"/>
      <c r="C32" s="470"/>
      <c r="D32" s="31"/>
      <c r="E32" s="100"/>
      <c r="F32" s="100"/>
      <c r="G32" s="100"/>
      <c r="H32" s="100"/>
      <c r="I32" s="100"/>
      <c r="J32" s="158"/>
      <c r="K32" s="274"/>
      <c r="L32" s="31"/>
      <c r="M32" s="148"/>
      <c r="N32" s="148"/>
      <c r="O32" s="148"/>
      <c r="P32" s="148"/>
      <c r="Q32" s="148"/>
      <c r="R32" s="148"/>
      <c r="S32" s="148"/>
      <c r="T32" s="148"/>
      <c r="U32" s="148"/>
      <c r="V32" s="148"/>
      <c r="W32" s="186"/>
      <c r="X32" s="159"/>
      <c r="Y32" s="470"/>
      <c r="Z32" s="165"/>
      <c r="AB32" s="148"/>
      <c r="AC32" s="186"/>
      <c r="AG32" s="96"/>
      <c r="AH32" s="148"/>
      <c r="AI32" s="148"/>
      <c r="AJ32" s="148"/>
      <c r="AK32" s="148"/>
      <c r="AL32" s="148"/>
      <c r="AM32" s="148"/>
      <c r="AN32" s="148"/>
      <c r="AO32" s="148"/>
      <c r="AP32" s="148"/>
      <c r="AQ32" s="148"/>
      <c r="AR32" s="148"/>
      <c r="AS32" s="148"/>
      <c r="AT32" s="148"/>
      <c r="AU32" s="148"/>
      <c r="AV32" s="148"/>
      <c r="AW32" s="148"/>
      <c r="AX32" s="148"/>
      <c r="AY32" s="148"/>
      <c r="AZ32" s="148"/>
      <c r="BA32" s="148"/>
      <c r="BB32" s="148"/>
      <c r="BC32" s="148"/>
      <c r="BD32" s="148"/>
      <c r="BE32" s="148"/>
      <c r="BF32" s="148"/>
      <c r="BG32" s="148"/>
      <c r="BH32" s="148"/>
      <c r="BI32" s="148"/>
      <c r="BJ32" s="148"/>
      <c r="BK32" s="148"/>
      <c r="BL32" s="148"/>
      <c r="BM32" s="148"/>
      <c r="BN32" s="148"/>
      <c r="BO32" s="148"/>
      <c r="BP32" s="160"/>
      <c r="BQ32" s="31"/>
      <c r="BR32" s="474"/>
      <c r="BS32" s="165"/>
      <c r="BW32" s="96"/>
      <c r="BX32" s="148"/>
      <c r="BY32" s="148"/>
      <c r="BZ32" s="148"/>
      <c r="CA32" s="148"/>
      <c r="CB32" s="148"/>
      <c r="CC32" s="148"/>
      <c r="CD32" s="148"/>
      <c r="CE32" s="148"/>
      <c r="CF32" s="148"/>
      <c r="CG32" s="148"/>
      <c r="CH32" s="148"/>
      <c r="CI32" s="148"/>
      <c r="CJ32" s="148"/>
      <c r="CK32" s="148"/>
      <c r="CL32" s="148"/>
      <c r="CM32" s="148"/>
      <c r="CN32" s="148"/>
      <c r="CO32" s="148"/>
      <c r="CP32" s="148"/>
      <c r="CQ32" s="148"/>
      <c r="CR32" s="148"/>
      <c r="CS32" s="148"/>
      <c r="CT32" s="148"/>
      <c r="CU32" s="148"/>
      <c r="CV32" s="148"/>
      <c r="CW32" s="148"/>
      <c r="CX32" s="148"/>
      <c r="CY32" s="148"/>
      <c r="CZ32" s="148"/>
      <c r="DA32" s="148"/>
      <c r="DB32" s="148"/>
      <c r="DC32" s="148"/>
      <c r="DD32" s="148"/>
      <c r="DE32" s="148"/>
      <c r="DF32" s="148"/>
      <c r="DG32" s="148"/>
      <c r="DH32" s="148"/>
      <c r="DI32" s="148"/>
      <c r="DJ32" s="148"/>
      <c r="DK32" s="148"/>
      <c r="DL32" s="148"/>
      <c r="DM32" s="148"/>
      <c r="DN32" s="148"/>
      <c r="DO32" s="149"/>
      <c r="DP32" s="113"/>
      <c r="DQ32" s="43"/>
      <c r="DR32" s="43"/>
      <c r="DS32" s="43"/>
      <c r="DT32" s="43"/>
      <c r="DU32" s="43"/>
      <c r="DV32" s="43"/>
      <c r="DW32" s="43"/>
      <c r="DX32" s="43"/>
      <c r="DY32" s="113"/>
      <c r="DZ32" s="113"/>
      <c r="EA32" s="113"/>
      <c r="EB32" s="113"/>
      <c r="EC32" s="113"/>
      <c r="ED32" s="113"/>
      <c r="EE32" s="113"/>
      <c r="EF32" s="113"/>
      <c r="EG32" s="113"/>
      <c r="EH32" s="113"/>
    </row>
    <row r="33" spans="2:138" ht="12" customHeight="1">
      <c r="B33" s="42"/>
      <c r="C33" s="423"/>
      <c r="D33" s="163"/>
      <c r="E33" s="699" t="str">
        <f>VLOOKUP("1.6geruchsprüfung",Translations!$A:$T,MATCH(DR19,Translations!A2:P2,0),0)</f>
        <v>1.6 Odour check</v>
      </c>
      <c r="F33" s="699"/>
      <c r="G33" s="699"/>
      <c r="H33" s="699"/>
      <c r="I33" s="699"/>
      <c r="J33" s="158"/>
      <c r="K33" s="471"/>
      <c r="L33" s="31"/>
      <c r="M33" s="699" t="str">
        <f>VLOOKUP("5konstruktionsfreigabe",Translations!$A:$T,MATCH(DR19,Translations!A2:P2,0),0)</f>
        <v>5 Design release</v>
      </c>
      <c r="N33" s="699"/>
      <c r="O33" s="699"/>
      <c r="P33" s="699"/>
      <c r="Q33" s="699"/>
      <c r="R33" s="699"/>
      <c r="S33" s="699"/>
      <c r="T33" s="699"/>
      <c r="U33" s="699"/>
      <c r="V33" s="699"/>
      <c r="W33" s="186"/>
      <c r="X33" s="162"/>
      <c r="Y33" s="423"/>
      <c r="Z33" s="165"/>
      <c r="AB33" s="699" t="str">
        <f>VLOOKUP("13absicherung besondere merkmale",Translations!$A:$T,MATCH(DR19,Translations!A2:P2,0),0)</f>
        <v>13 Achievement of special characteristics</v>
      </c>
      <c r="AC33" s="699"/>
      <c r="AD33" s="699"/>
      <c r="AE33" s="699"/>
      <c r="AF33" s="699"/>
      <c r="AG33" s="699"/>
      <c r="AH33" s="699"/>
      <c r="AI33" s="699"/>
      <c r="AJ33" s="699"/>
      <c r="AK33" s="699"/>
      <c r="AL33" s="699"/>
      <c r="AM33" s="699"/>
      <c r="AN33" s="699"/>
      <c r="AO33" s="699"/>
      <c r="AP33" s="699"/>
      <c r="AQ33" s="699"/>
      <c r="AR33" s="699"/>
      <c r="AS33" s="699"/>
      <c r="AT33" s="699"/>
      <c r="AU33" s="699"/>
      <c r="AV33" s="699"/>
      <c r="AW33" s="699"/>
      <c r="AX33" s="699"/>
      <c r="AY33" s="699"/>
      <c r="AZ33" s="699"/>
      <c r="BA33" s="699"/>
      <c r="BB33" s="699"/>
      <c r="BC33" s="699"/>
      <c r="BD33" s="699"/>
      <c r="BE33" s="699"/>
      <c r="BF33" s="699"/>
      <c r="BG33" s="699"/>
      <c r="BH33" s="699"/>
      <c r="BI33" s="699"/>
      <c r="BJ33" s="699"/>
      <c r="BK33" s="699"/>
      <c r="BL33" s="699"/>
      <c r="BM33" s="699"/>
      <c r="BN33" s="699"/>
      <c r="BO33" s="699"/>
      <c r="BP33" s="231"/>
      <c r="BQ33" s="162"/>
      <c r="BR33" s="471"/>
      <c r="BS33" s="165"/>
      <c r="BU33" s="699" t="str">
        <f>VLOOKUP("21ppfstatus lieferkette",Translations!$A:$T,MATCH(DR19,Translations!A2:P2,0),0)</f>
        <v>21 PPA-Status of the supply chain</v>
      </c>
      <c r="BV33" s="699"/>
      <c r="BW33" s="699"/>
      <c r="BX33" s="699"/>
      <c r="BY33" s="699"/>
      <c r="BZ33" s="699"/>
      <c r="CA33" s="699"/>
      <c r="CB33" s="699"/>
      <c r="CC33" s="699"/>
      <c r="CD33" s="699"/>
      <c r="CE33" s="699"/>
      <c r="CF33" s="699"/>
      <c r="CG33" s="699"/>
      <c r="CH33" s="699"/>
      <c r="CI33" s="699"/>
      <c r="CJ33" s="699"/>
      <c r="CK33" s="699"/>
      <c r="CL33" s="699"/>
      <c r="CM33" s="699"/>
      <c r="CN33" s="699"/>
      <c r="CO33" s="699"/>
      <c r="CP33" s="699"/>
      <c r="CQ33" s="699"/>
      <c r="CR33" s="699"/>
      <c r="CS33" s="699"/>
      <c r="CT33" s="699"/>
      <c r="CU33" s="699"/>
      <c r="CV33" s="699"/>
      <c r="CW33" s="699"/>
      <c r="CX33" s="699"/>
      <c r="CY33" s="699"/>
      <c r="CZ33" s="699"/>
      <c r="DA33" s="699"/>
      <c r="DB33" s="699"/>
      <c r="DC33" s="699"/>
      <c r="DD33" s="699"/>
      <c r="DE33" s="699"/>
      <c r="DF33" s="699"/>
      <c r="DG33" s="699"/>
      <c r="DH33" s="699"/>
      <c r="DI33" s="699"/>
      <c r="DJ33" s="699"/>
      <c r="DK33" s="699"/>
      <c r="DL33" s="699"/>
      <c r="DM33" s="699"/>
      <c r="DN33" s="699"/>
      <c r="DO33" s="700"/>
      <c r="DP33" s="113"/>
      <c r="DQ33" s="26"/>
      <c r="DY33" s="113"/>
      <c r="DZ33" s="113"/>
      <c r="EA33" s="113"/>
      <c r="EB33" s="113"/>
      <c r="EC33" s="113"/>
      <c r="ED33" s="113"/>
      <c r="EE33" s="113"/>
      <c r="EF33" s="113"/>
      <c r="EG33" s="113"/>
      <c r="EH33" s="113"/>
    </row>
    <row r="34" spans="2:138" ht="2.25" customHeight="1">
      <c r="B34" s="42"/>
      <c r="C34" s="470"/>
      <c r="D34" s="31"/>
      <c r="E34" s="100"/>
      <c r="F34" s="100"/>
      <c r="G34" s="100"/>
      <c r="H34" s="100"/>
      <c r="I34" s="100"/>
      <c r="J34" s="158"/>
      <c r="K34" s="274"/>
      <c r="L34" s="31"/>
      <c r="M34" s="148"/>
      <c r="N34" s="148"/>
      <c r="O34" s="148"/>
      <c r="P34" s="148"/>
      <c r="Q34" s="148"/>
      <c r="R34" s="148"/>
      <c r="S34" s="148"/>
      <c r="T34" s="148"/>
      <c r="U34" s="148"/>
      <c r="V34" s="148"/>
      <c r="W34" s="186"/>
      <c r="X34" s="159"/>
      <c r="Y34" s="470"/>
      <c r="Z34" s="165"/>
      <c r="AB34" s="148"/>
      <c r="AC34" s="186"/>
      <c r="AG34" s="96"/>
      <c r="AH34" s="148"/>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c r="BI34" s="148"/>
      <c r="BJ34" s="148"/>
      <c r="BK34" s="148"/>
      <c r="BL34" s="148"/>
      <c r="BM34" s="148"/>
      <c r="BN34" s="148"/>
      <c r="BO34" s="148"/>
      <c r="BP34" s="160"/>
      <c r="BQ34" s="31"/>
      <c r="BR34" s="474"/>
      <c r="BS34" s="165"/>
      <c r="BW34" s="96"/>
      <c r="BX34" s="148"/>
      <c r="BY34" s="148"/>
      <c r="BZ34" s="148"/>
      <c r="CA34" s="148"/>
      <c r="CB34" s="148"/>
      <c r="CC34" s="148"/>
      <c r="CD34" s="148"/>
      <c r="CE34" s="148"/>
      <c r="CF34" s="148"/>
      <c r="CG34" s="148"/>
      <c r="CH34" s="148"/>
      <c r="CI34" s="148"/>
      <c r="CJ34" s="148"/>
      <c r="CK34" s="148"/>
      <c r="CL34" s="148"/>
      <c r="CM34" s="148"/>
      <c r="CN34" s="148"/>
      <c r="CO34" s="148"/>
      <c r="CP34" s="148"/>
      <c r="CQ34" s="148"/>
      <c r="CR34" s="148"/>
      <c r="CS34" s="148"/>
      <c r="CT34" s="148"/>
      <c r="CU34" s="148"/>
      <c r="CV34" s="148"/>
      <c r="CW34" s="148"/>
      <c r="CX34" s="148"/>
      <c r="CY34" s="148"/>
      <c r="CZ34" s="148"/>
      <c r="DA34" s="148"/>
      <c r="DB34" s="148"/>
      <c r="DC34" s="148"/>
      <c r="DD34" s="148"/>
      <c r="DE34" s="148"/>
      <c r="DF34" s="148"/>
      <c r="DG34" s="148"/>
      <c r="DH34" s="148"/>
      <c r="DI34" s="148"/>
      <c r="DJ34" s="148"/>
      <c r="DK34" s="148"/>
      <c r="DL34" s="148"/>
      <c r="DM34" s="148"/>
      <c r="DN34" s="148"/>
      <c r="DO34" s="149"/>
      <c r="DP34" s="113"/>
      <c r="DQ34" s="26"/>
      <c r="DY34" s="113"/>
      <c r="DZ34" s="113"/>
      <c r="EA34" s="113"/>
      <c r="EB34" s="113"/>
      <c r="EC34" s="113"/>
      <c r="ED34" s="113"/>
      <c r="EE34" s="113"/>
      <c r="EF34" s="113"/>
      <c r="EG34" s="113"/>
      <c r="EH34" s="113"/>
    </row>
    <row r="35" spans="2:138" ht="12" customHeight="1">
      <c r="B35" s="42"/>
      <c r="C35" s="423"/>
      <c r="D35" s="163"/>
      <c r="E35" s="699" t="str">
        <f>VLOOKUP("1.7aussehensprüfung",Translations!$A:$T,MATCH(DR19,Translations!A2:P2,0),0)</f>
        <v>1.7 Appearance check</v>
      </c>
      <c r="F35" s="699"/>
      <c r="G35" s="699"/>
      <c r="H35" s="699"/>
      <c r="I35" s="699"/>
      <c r="J35" s="158"/>
      <c r="K35" s="471"/>
      <c r="L35" s="31"/>
      <c r="M35" s="699" t="str">
        <f>VLOOKUP("6einhaltung gesetzlicher forderungen",Translations!$A:$T,MATCH(DR19,Translations!A2:P2,0),0)</f>
        <v>6 Compliance with legal requirements</v>
      </c>
      <c r="N35" s="699"/>
      <c r="O35" s="699"/>
      <c r="P35" s="699"/>
      <c r="Q35" s="699"/>
      <c r="R35" s="699"/>
      <c r="S35" s="699"/>
      <c r="T35" s="699"/>
      <c r="U35" s="699"/>
      <c r="V35" s="699"/>
      <c r="W35" s="186"/>
      <c r="X35" s="162"/>
      <c r="Y35" s="423"/>
      <c r="Z35" s="165"/>
      <c r="AB35" s="699" t="str">
        <f>VLOOKUP("14prüfmittelliste",Translations!$A:$T,MATCH(DR19,Translations!A2:P2,0),0)</f>
        <v>14 Test / Inspection equipment list</v>
      </c>
      <c r="AC35" s="699"/>
      <c r="AD35" s="699"/>
      <c r="AE35" s="699"/>
      <c r="AF35" s="699"/>
      <c r="AG35" s="699"/>
      <c r="AH35" s="699"/>
      <c r="AI35" s="699"/>
      <c r="AJ35" s="699"/>
      <c r="AK35" s="699"/>
      <c r="AL35" s="699"/>
      <c r="AM35" s="699"/>
      <c r="AN35" s="699"/>
      <c r="AO35" s="699"/>
      <c r="AP35" s="699"/>
      <c r="AQ35" s="699"/>
      <c r="AR35" s="699"/>
      <c r="AS35" s="699"/>
      <c r="AT35" s="699"/>
      <c r="AU35" s="699"/>
      <c r="AV35" s="699"/>
      <c r="AW35" s="699"/>
      <c r="AX35" s="699"/>
      <c r="AY35" s="699"/>
      <c r="AZ35" s="699"/>
      <c r="BA35" s="699"/>
      <c r="BB35" s="699"/>
      <c r="BC35" s="699"/>
      <c r="BD35" s="699"/>
      <c r="BE35" s="699"/>
      <c r="BF35" s="699"/>
      <c r="BG35" s="699"/>
      <c r="BH35" s="699"/>
      <c r="BI35" s="699"/>
      <c r="BJ35" s="699"/>
      <c r="BK35" s="699"/>
      <c r="BL35" s="699"/>
      <c r="BM35" s="699"/>
      <c r="BN35" s="699"/>
      <c r="BO35" s="699"/>
      <c r="BP35" s="231"/>
      <c r="BQ35" s="162"/>
      <c r="BR35" s="471"/>
      <c r="BS35" s="165"/>
      <c r="BU35" s="699" t="str">
        <f>VLOOKUP("22freigabevonbeschichtungssystemen",Translations!$A:$T,MATCH(DR19,Translations!A2:P2,0),0)</f>
        <v xml:space="preserve">22 Approval of coating systems </v>
      </c>
      <c r="BV35" s="699"/>
      <c r="BW35" s="699"/>
      <c r="BX35" s="699"/>
      <c r="BY35" s="699"/>
      <c r="BZ35" s="699"/>
      <c r="CA35" s="699"/>
      <c r="CB35" s="699"/>
      <c r="CC35" s="699"/>
      <c r="CD35" s="699"/>
      <c r="CE35" s="699"/>
      <c r="CF35" s="699"/>
      <c r="CG35" s="699"/>
      <c r="CH35" s="699"/>
      <c r="CI35" s="699"/>
      <c r="CJ35" s="699"/>
      <c r="CK35" s="699"/>
      <c r="CL35" s="699"/>
      <c r="CM35" s="699"/>
      <c r="CN35" s="699"/>
      <c r="CO35" s="699"/>
      <c r="CP35" s="699"/>
      <c r="CQ35" s="699"/>
      <c r="CR35" s="699"/>
      <c r="CS35" s="699"/>
      <c r="CT35" s="699"/>
      <c r="CU35" s="699"/>
      <c r="CV35" s="699"/>
      <c r="CW35" s="699"/>
      <c r="CX35" s="699"/>
      <c r="CY35" s="699"/>
      <c r="CZ35" s="699"/>
      <c r="DA35" s="699"/>
      <c r="DB35" s="699"/>
      <c r="DC35" s="699"/>
      <c r="DD35" s="699"/>
      <c r="DE35" s="699"/>
      <c r="DF35" s="699"/>
      <c r="DG35" s="699"/>
      <c r="DH35" s="699"/>
      <c r="DI35" s="699"/>
      <c r="DJ35" s="699"/>
      <c r="DK35" s="699"/>
      <c r="DL35" s="699"/>
      <c r="DM35" s="699"/>
      <c r="DN35" s="699"/>
      <c r="DO35" s="700"/>
      <c r="DP35" s="113"/>
      <c r="DQ35" s="44"/>
      <c r="DR35" s="44"/>
      <c r="DS35" s="44"/>
      <c r="DT35" s="44"/>
      <c r="DU35" s="44"/>
      <c r="DV35" s="43"/>
      <c r="DW35" s="43"/>
      <c r="DX35" s="43"/>
      <c r="DY35" s="113"/>
      <c r="DZ35" s="113"/>
      <c r="EA35" s="113"/>
      <c r="EB35" s="113"/>
      <c r="EC35" s="113"/>
      <c r="ED35" s="113"/>
      <c r="EE35" s="113"/>
      <c r="EF35" s="113"/>
      <c r="EG35" s="113"/>
      <c r="EH35" s="113"/>
    </row>
    <row r="36" spans="2:138" ht="2.25" customHeight="1">
      <c r="B36" s="42"/>
      <c r="C36" s="470"/>
      <c r="D36" s="31"/>
      <c r="E36" s="140"/>
      <c r="F36" s="140"/>
      <c r="G36" s="140"/>
      <c r="H36" s="140"/>
      <c r="I36" s="140"/>
      <c r="J36" s="158"/>
      <c r="K36" s="274"/>
      <c r="L36" s="31"/>
      <c r="M36" s="148"/>
      <c r="N36" s="148"/>
      <c r="O36" s="148"/>
      <c r="P36" s="148"/>
      <c r="Q36" s="148"/>
      <c r="R36" s="148"/>
      <c r="S36" s="148"/>
      <c r="T36" s="148"/>
      <c r="U36" s="148"/>
      <c r="V36" s="148"/>
      <c r="W36" s="186"/>
      <c r="X36" s="159"/>
      <c r="Y36" s="470"/>
      <c r="Z36" s="165"/>
      <c r="AB36" s="148"/>
      <c r="AC36" s="186"/>
      <c r="AG36" s="96"/>
      <c r="AH36" s="148"/>
      <c r="AI36" s="148"/>
      <c r="AJ36" s="148"/>
      <c r="AK36" s="148"/>
      <c r="AL36" s="148"/>
      <c r="AM36" s="148"/>
      <c r="AN36" s="148"/>
      <c r="AO36" s="148"/>
      <c r="AP36" s="148"/>
      <c r="AQ36" s="148"/>
      <c r="AR36" s="148"/>
      <c r="AS36" s="148"/>
      <c r="AT36" s="148"/>
      <c r="AU36" s="148"/>
      <c r="AV36" s="148"/>
      <c r="AW36" s="148"/>
      <c r="AX36" s="148"/>
      <c r="AY36" s="148"/>
      <c r="AZ36" s="148"/>
      <c r="BA36" s="148"/>
      <c r="BB36" s="148"/>
      <c r="BC36" s="148"/>
      <c r="BD36" s="148"/>
      <c r="BE36" s="148"/>
      <c r="BF36" s="148"/>
      <c r="BG36" s="148"/>
      <c r="BH36" s="148"/>
      <c r="BI36" s="148"/>
      <c r="BJ36" s="148"/>
      <c r="BK36" s="148"/>
      <c r="BL36" s="148"/>
      <c r="BM36" s="148"/>
      <c r="BN36" s="148"/>
      <c r="BO36" s="148"/>
      <c r="BP36" s="160"/>
      <c r="BQ36" s="31"/>
      <c r="BR36" s="474"/>
      <c r="BS36" s="165"/>
      <c r="BW36" s="96"/>
      <c r="BX36" s="148"/>
      <c r="BY36" s="148"/>
      <c r="BZ36" s="148"/>
      <c r="CA36" s="148"/>
      <c r="CB36" s="148"/>
      <c r="CC36" s="148"/>
      <c r="CD36" s="148"/>
      <c r="CE36" s="148"/>
      <c r="CF36" s="148"/>
      <c r="CG36" s="148"/>
      <c r="CH36" s="148"/>
      <c r="CI36" s="148"/>
      <c r="CJ36" s="148"/>
      <c r="CK36" s="148"/>
      <c r="CL36" s="148"/>
      <c r="CM36" s="148"/>
      <c r="CN36" s="148"/>
      <c r="CO36" s="148"/>
      <c r="CP36" s="148"/>
      <c r="CQ36" s="148"/>
      <c r="CR36" s="148"/>
      <c r="CS36" s="148"/>
      <c r="CT36" s="148"/>
      <c r="CU36" s="148"/>
      <c r="CV36" s="148"/>
      <c r="CW36" s="148"/>
      <c r="CX36" s="148"/>
      <c r="CY36" s="148"/>
      <c r="CZ36" s="148"/>
      <c r="DA36" s="148"/>
      <c r="DB36" s="148"/>
      <c r="DC36" s="148"/>
      <c r="DD36" s="148"/>
      <c r="DE36" s="148"/>
      <c r="DF36" s="148"/>
      <c r="DG36" s="148"/>
      <c r="DH36" s="148"/>
      <c r="DI36" s="148"/>
      <c r="DJ36" s="148"/>
      <c r="DK36" s="148"/>
      <c r="DL36" s="148"/>
      <c r="DM36" s="148"/>
      <c r="DN36" s="148"/>
      <c r="DO36" s="149"/>
      <c r="DP36" s="113"/>
      <c r="DQ36" s="44"/>
      <c r="DR36" s="44"/>
      <c r="DS36" s="44"/>
      <c r="DT36" s="44"/>
      <c r="DU36" s="44"/>
      <c r="DV36" s="43"/>
      <c r="DW36" s="43"/>
      <c r="DX36" s="43"/>
      <c r="DY36" s="113"/>
      <c r="DZ36" s="113"/>
      <c r="EA36" s="113"/>
      <c r="EB36" s="113"/>
      <c r="EC36" s="113"/>
      <c r="ED36" s="113"/>
      <c r="EE36" s="113"/>
      <c r="EF36" s="113"/>
      <c r="EG36" s="113"/>
      <c r="EH36" s="113"/>
    </row>
    <row r="37" spans="2:138" ht="12" customHeight="1">
      <c r="B37" s="42"/>
      <c r="C37" s="423"/>
      <c r="D37" s="163"/>
      <c r="E37" s="699" t="str">
        <f>VLOOKUP("1.8oberflächenprüfung",Translations!$A:$T,MATCH(DR19,Translations!A2:P2,0),0)</f>
        <v>1.8 Surface check</v>
      </c>
      <c r="F37" s="699"/>
      <c r="G37" s="699"/>
      <c r="H37" s="100"/>
      <c r="I37" s="100"/>
      <c r="J37" s="158"/>
      <c r="K37" s="471"/>
      <c r="L37" s="31"/>
      <c r="M37" s="699" t="str">
        <f>VLOOKUP("7materialdatenblattimds",Translations!$A:$T,MATCH(DR19,Translations!A2:P2,0),0)</f>
        <v>7 Material data sheet / IMDS</v>
      </c>
      <c r="N37" s="699"/>
      <c r="O37" s="699"/>
      <c r="P37" s="699"/>
      <c r="Q37" s="699"/>
      <c r="R37" s="699"/>
      <c r="S37" s="699"/>
      <c r="T37" s="699"/>
      <c r="U37" s="699"/>
      <c r="V37" s="699"/>
      <c r="W37" s="186"/>
      <c r="X37" s="162"/>
      <c r="Y37" s="423"/>
      <c r="Z37" s="165"/>
      <c r="AB37" s="699" t="str">
        <f>VLOOKUP("15prüfmittelfähigkeitsnachweis",Translations!$A:$T,MATCH(DR19,Translations!A2:P2,0),0)</f>
        <v>15 Capability study testing equipment</v>
      </c>
      <c r="AC37" s="699"/>
      <c r="AD37" s="699"/>
      <c r="AE37" s="699"/>
      <c r="AF37" s="699"/>
      <c r="AG37" s="699"/>
      <c r="AH37" s="699"/>
      <c r="AI37" s="699"/>
      <c r="AJ37" s="699"/>
      <c r="AK37" s="699"/>
      <c r="AL37" s="699"/>
      <c r="AM37" s="699"/>
      <c r="AN37" s="699"/>
      <c r="AO37" s="699"/>
      <c r="AP37" s="699"/>
      <c r="AQ37" s="699"/>
      <c r="AR37" s="699"/>
      <c r="AS37" s="699"/>
      <c r="AT37" s="699"/>
      <c r="AU37" s="699"/>
      <c r="AV37" s="699"/>
      <c r="AW37" s="699"/>
      <c r="AX37" s="699"/>
      <c r="AY37" s="699"/>
      <c r="AZ37" s="699"/>
      <c r="BA37" s="699"/>
      <c r="BB37" s="699"/>
      <c r="BC37" s="699"/>
      <c r="BD37" s="699"/>
      <c r="BE37" s="699"/>
      <c r="BF37" s="699"/>
      <c r="BG37" s="699"/>
      <c r="BH37" s="699"/>
      <c r="BI37" s="699"/>
      <c r="BJ37" s="699"/>
      <c r="BK37" s="699"/>
      <c r="BL37" s="699"/>
      <c r="BM37" s="699"/>
      <c r="BN37" s="699"/>
      <c r="BO37" s="699"/>
      <c r="BP37" s="231"/>
      <c r="BQ37" s="162"/>
      <c r="BR37" s="471"/>
      <c r="BS37" s="165"/>
      <c r="BT37" s="360"/>
      <c r="BU37" s="753">
        <v>23</v>
      </c>
      <c r="BV37" s="753"/>
      <c r="BW37" s="753"/>
      <c r="BX37" s="801" t="str">
        <f>VLOOKUP("23sonstiges",Translations!$A:$T,MATCH(DR19,Translations!A2:P2,0),0)</f>
        <v>Other</v>
      </c>
      <c r="BY37" s="801"/>
      <c r="BZ37" s="801"/>
      <c r="CA37" s="801"/>
      <c r="CB37" s="801"/>
      <c r="CC37" s="801"/>
      <c r="CD37" s="801"/>
      <c r="CE37" s="801"/>
      <c r="CF37" s="801"/>
      <c r="CG37" s="801"/>
      <c r="CH37" s="801"/>
      <c r="CI37" s="801"/>
      <c r="CJ37" s="801"/>
      <c r="CK37" s="801"/>
      <c r="CL37" s="801"/>
      <c r="CM37" s="801"/>
      <c r="CN37" s="801"/>
      <c r="CO37" s="801"/>
      <c r="CP37" s="801"/>
      <c r="CQ37" s="801"/>
      <c r="CR37" s="801"/>
      <c r="CS37" s="801"/>
      <c r="CT37" s="801"/>
      <c r="CU37" s="801"/>
      <c r="CV37" s="801"/>
      <c r="CW37" s="801"/>
      <c r="CX37" s="801"/>
      <c r="CY37" s="801"/>
      <c r="CZ37" s="801"/>
      <c r="DA37" s="801"/>
      <c r="DB37" s="801"/>
      <c r="DC37" s="801"/>
      <c r="DD37" s="801"/>
      <c r="DE37" s="801"/>
      <c r="DF37" s="801"/>
      <c r="DG37" s="801"/>
      <c r="DH37" s="801"/>
      <c r="DI37" s="801"/>
      <c r="DJ37" s="801"/>
      <c r="DK37" s="801"/>
      <c r="DL37" s="801"/>
      <c r="DM37" s="801"/>
      <c r="DN37" s="801"/>
      <c r="DO37" s="873"/>
      <c r="DP37" s="113"/>
      <c r="DQ37" s="44"/>
      <c r="DR37" s="44"/>
      <c r="DS37" s="44"/>
      <c r="DT37" s="44"/>
      <c r="DU37" s="44"/>
      <c r="DY37" s="113"/>
      <c r="DZ37" s="113"/>
      <c r="EA37" s="113"/>
      <c r="EB37" s="113"/>
      <c r="EC37" s="113"/>
      <c r="ED37" s="113"/>
      <c r="EE37" s="113"/>
      <c r="EF37" s="113"/>
      <c r="EG37" s="113"/>
      <c r="EH37" s="113"/>
    </row>
    <row r="38" spans="2:138" ht="2.25" customHeight="1">
      <c r="B38" s="42"/>
      <c r="C38" s="31"/>
      <c r="D38" s="31"/>
      <c r="E38" s="699"/>
      <c r="F38" s="699"/>
      <c r="G38" s="699"/>
      <c r="H38" s="100"/>
      <c r="I38" s="100"/>
      <c r="J38" s="158"/>
      <c r="K38" s="158"/>
      <c r="L38" s="31"/>
      <c r="M38" s="100"/>
      <c r="N38" s="100"/>
      <c r="O38" s="100"/>
      <c r="P38" s="100"/>
      <c r="Q38" s="100"/>
      <c r="R38" s="100"/>
      <c r="S38" s="100"/>
      <c r="T38" s="100"/>
      <c r="U38" s="100"/>
      <c r="V38" s="100"/>
      <c r="W38" s="186"/>
      <c r="X38" s="177"/>
      <c r="Y38" s="31"/>
      <c r="Z38" s="165"/>
      <c r="AB38" s="100"/>
      <c r="AC38" s="186"/>
      <c r="AG38" s="96"/>
      <c r="AH38" s="100"/>
      <c r="AI38" s="100"/>
      <c r="AJ38" s="100"/>
      <c r="AK38" s="100"/>
      <c r="AL38" s="100"/>
      <c r="AM38" s="100"/>
      <c r="AN38" s="100"/>
      <c r="AO38" s="100"/>
      <c r="AP38" s="100"/>
      <c r="AQ38" s="100"/>
      <c r="AR38" s="100"/>
      <c r="AS38" s="100"/>
      <c r="AT38" s="100"/>
      <c r="AU38" s="100"/>
      <c r="AV38" s="100"/>
      <c r="AW38" s="100"/>
      <c r="AX38" s="100"/>
      <c r="AY38" s="100"/>
      <c r="AZ38" s="100"/>
      <c r="BA38" s="100"/>
      <c r="BB38" s="100"/>
      <c r="BC38" s="100"/>
      <c r="BD38" s="100"/>
      <c r="BE38" s="100"/>
      <c r="BF38" s="100"/>
      <c r="BG38" s="100"/>
      <c r="BH38" s="100"/>
      <c r="BI38" s="100"/>
      <c r="BJ38" s="100"/>
      <c r="BK38" s="100"/>
      <c r="BL38" s="100"/>
      <c r="BM38" s="100"/>
      <c r="BN38" s="100"/>
      <c r="BO38" s="100"/>
      <c r="BP38" s="186"/>
      <c r="BQ38" s="31"/>
      <c r="BR38" s="31"/>
      <c r="BS38" s="165"/>
      <c r="BT38" s="870"/>
      <c r="BU38" s="870"/>
      <c r="BV38" s="870"/>
      <c r="BW38" s="870"/>
      <c r="BX38" s="870"/>
      <c r="BY38" s="870"/>
      <c r="BZ38" s="870"/>
      <c r="CA38" s="870"/>
      <c r="CB38" s="870"/>
      <c r="CC38" s="870"/>
      <c r="CD38" s="870"/>
      <c r="CE38" s="870"/>
      <c r="CF38" s="870"/>
      <c r="CG38" s="870"/>
      <c r="CH38" s="870"/>
      <c r="CI38" s="870"/>
      <c r="CJ38" s="870"/>
      <c r="CK38" s="870"/>
      <c r="CL38" s="870"/>
      <c r="CM38" s="870"/>
      <c r="CN38" s="870"/>
      <c r="CO38" s="870"/>
      <c r="CP38" s="870"/>
      <c r="CQ38" s="870"/>
      <c r="CR38" s="870"/>
      <c r="CS38" s="870"/>
      <c r="CT38" s="870"/>
      <c r="CU38" s="870"/>
      <c r="CV38" s="870"/>
      <c r="CW38" s="870"/>
      <c r="CX38" s="870"/>
      <c r="CY38" s="870"/>
      <c r="CZ38" s="870"/>
      <c r="DA38" s="870"/>
      <c r="DB38" s="870"/>
      <c r="DC38" s="870"/>
      <c r="DD38" s="870"/>
      <c r="DE38" s="870"/>
      <c r="DF38" s="870"/>
      <c r="DG38" s="870"/>
      <c r="DH38" s="870"/>
      <c r="DI38" s="870"/>
      <c r="DJ38" s="870"/>
      <c r="DK38" s="870"/>
      <c r="DL38" s="870"/>
      <c r="DM38" s="870"/>
      <c r="DN38" s="870"/>
      <c r="DO38" s="782"/>
      <c r="DP38" s="113"/>
      <c r="DQ38" s="44"/>
      <c r="DR38" s="44"/>
      <c r="DS38" s="44"/>
      <c r="DT38" s="44"/>
      <c r="DU38" s="44"/>
      <c r="DY38" s="113"/>
      <c r="DZ38" s="113"/>
      <c r="EA38" s="113"/>
      <c r="EB38" s="113"/>
      <c r="EC38" s="113"/>
      <c r="ED38" s="113"/>
      <c r="EE38" s="113"/>
      <c r="EF38" s="113"/>
      <c r="EG38" s="113"/>
      <c r="EH38" s="113"/>
    </row>
    <row r="39" spans="2:138" ht="2.25" customHeight="1" thickBot="1">
      <c r="B39" s="54"/>
      <c r="C39" s="55"/>
      <c r="D39" s="55"/>
      <c r="E39" s="234"/>
      <c r="F39" s="234"/>
      <c r="G39" s="234"/>
      <c r="H39" s="234"/>
      <c r="I39" s="234"/>
      <c r="J39" s="57"/>
      <c r="K39" s="57"/>
      <c r="L39" s="55"/>
      <c r="M39" s="234"/>
      <c r="N39" s="234"/>
      <c r="O39" s="234"/>
      <c r="P39" s="234"/>
      <c r="Q39" s="234"/>
      <c r="R39" s="234"/>
      <c r="S39" s="234"/>
      <c r="T39" s="234"/>
      <c r="U39" s="234"/>
      <c r="V39" s="234"/>
      <c r="W39" s="234"/>
      <c r="X39" s="234"/>
      <c r="Y39" s="234"/>
      <c r="Z39" s="234"/>
      <c r="AA39" s="234"/>
      <c r="AB39" s="234"/>
      <c r="AC39" s="56"/>
      <c r="AD39" s="56"/>
      <c r="AE39" s="56"/>
      <c r="AF39" s="55"/>
      <c r="AG39" s="55"/>
      <c r="AH39" s="56"/>
      <c r="AI39" s="56"/>
      <c r="AJ39" s="56"/>
      <c r="AK39" s="56"/>
      <c r="AL39" s="56"/>
      <c r="AM39" s="56"/>
      <c r="AN39" s="56"/>
      <c r="AO39" s="56"/>
      <c r="AP39" s="56"/>
      <c r="AQ39" s="56"/>
      <c r="AR39" s="189"/>
      <c r="AS39" s="189"/>
      <c r="AT39" s="56"/>
      <c r="AU39" s="189"/>
      <c r="AV39" s="189"/>
      <c r="AW39" s="56"/>
      <c r="AX39" s="189"/>
      <c r="AY39" s="189"/>
      <c r="AZ39" s="56"/>
      <c r="BA39" s="189"/>
      <c r="BB39" s="189"/>
      <c r="BC39" s="56"/>
      <c r="BD39" s="189"/>
      <c r="BE39" s="189"/>
      <c r="BF39" s="56"/>
      <c r="BG39" s="189"/>
      <c r="BH39" s="189"/>
      <c r="BI39" s="56"/>
      <c r="BJ39" s="189"/>
      <c r="BK39" s="189"/>
      <c r="BL39" s="56"/>
      <c r="BM39" s="189"/>
      <c r="BN39" s="189"/>
      <c r="BO39" s="56"/>
      <c r="BP39" s="189"/>
      <c r="BQ39" s="189"/>
      <c r="BR39" s="56"/>
      <c r="BS39" s="56"/>
      <c r="BT39" s="745"/>
      <c r="BU39" s="745"/>
      <c r="BV39" s="745"/>
      <c r="BW39" s="745"/>
      <c r="BX39" s="745"/>
      <c r="BY39" s="745"/>
      <c r="BZ39" s="745"/>
      <c r="CA39" s="745"/>
      <c r="CB39" s="745"/>
      <c r="CC39" s="745"/>
      <c r="CD39" s="745"/>
      <c r="CE39" s="745"/>
      <c r="CF39" s="745"/>
      <c r="CG39" s="745"/>
      <c r="CH39" s="745"/>
      <c r="CI39" s="745"/>
      <c r="CJ39" s="745"/>
      <c r="CK39" s="745"/>
      <c r="CL39" s="745"/>
      <c r="CM39" s="745"/>
      <c r="CN39" s="745"/>
      <c r="CO39" s="745"/>
      <c r="CP39" s="745"/>
      <c r="CQ39" s="745"/>
      <c r="CR39" s="745"/>
      <c r="CS39" s="745"/>
      <c r="CT39" s="745"/>
      <c r="CU39" s="745"/>
      <c r="CV39" s="745"/>
      <c r="CW39" s="745"/>
      <c r="CX39" s="745"/>
      <c r="CY39" s="745"/>
      <c r="CZ39" s="745"/>
      <c r="DA39" s="745"/>
      <c r="DB39" s="745"/>
      <c r="DC39" s="745"/>
      <c r="DD39" s="745"/>
      <c r="DE39" s="745"/>
      <c r="DF39" s="745"/>
      <c r="DG39" s="745"/>
      <c r="DH39" s="745"/>
      <c r="DI39" s="745"/>
      <c r="DJ39" s="745"/>
      <c r="DK39" s="745"/>
      <c r="DL39" s="745"/>
      <c r="DM39" s="745"/>
      <c r="DN39" s="745"/>
      <c r="DO39" s="746"/>
      <c r="DP39" s="113"/>
      <c r="DQ39" s="44"/>
      <c r="DR39" s="44"/>
      <c r="DS39" s="44"/>
      <c r="DT39" s="44"/>
      <c r="DU39" s="44"/>
      <c r="DY39" s="113"/>
      <c r="DZ39" s="113"/>
      <c r="EA39" s="113"/>
      <c r="EB39" s="113"/>
      <c r="EC39" s="113"/>
      <c r="ED39" s="113"/>
      <c r="EE39" s="113"/>
      <c r="EF39" s="113"/>
      <c r="EG39" s="113"/>
      <c r="EH39" s="113"/>
    </row>
    <row r="40" spans="2:138" ht="12.75" customHeight="1" thickBot="1">
      <c r="B40" s="865" t="str">
        <f>VLOOKUP("lieferantenangaben",Translations!$A:$T,MATCH(DR19,Translations!A2:P2,0),0)</f>
        <v>Supplier details:</v>
      </c>
      <c r="C40" s="866"/>
      <c r="D40" s="866"/>
      <c r="E40" s="866"/>
      <c r="F40" s="866"/>
      <c r="G40" s="866"/>
      <c r="H40" s="866"/>
      <c r="I40" s="866"/>
      <c r="J40" s="866"/>
      <c r="K40" s="866"/>
      <c r="L40" s="866"/>
      <c r="M40" s="866"/>
      <c r="N40" s="866"/>
      <c r="O40" s="866"/>
      <c r="P40" s="866"/>
      <c r="Q40" s="866"/>
      <c r="R40" s="866"/>
      <c r="S40" s="866"/>
      <c r="T40" s="866"/>
      <c r="U40" s="866"/>
      <c r="V40" s="866"/>
      <c r="W40" s="866"/>
      <c r="X40" s="866"/>
      <c r="Y40" s="866"/>
      <c r="Z40" s="866"/>
      <c r="AA40" s="866"/>
      <c r="AB40" s="866"/>
      <c r="AC40" s="866"/>
      <c r="AD40" s="866"/>
      <c r="AE40" s="866"/>
      <c r="AF40" s="866"/>
      <c r="AG40" s="866"/>
      <c r="AH40" s="866"/>
      <c r="AI40" s="866"/>
      <c r="AJ40" s="866"/>
      <c r="AK40" s="866"/>
      <c r="AL40" s="866"/>
      <c r="AM40" s="866"/>
      <c r="AN40" s="866"/>
      <c r="AO40" s="866"/>
      <c r="AP40" s="866"/>
      <c r="AQ40" s="866"/>
      <c r="AR40" s="866"/>
      <c r="AS40" s="866"/>
      <c r="AT40" s="866"/>
      <c r="AU40" s="866"/>
      <c r="AV40" s="866"/>
      <c r="AW40" s="866"/>
      <c r="AX40" s="866"/>
      <c r="AY40" s="866"/>
      <c r="AZ40" s="866"/>
      <c r="BA40" s="866"/>
      <c r="BB40" s="866"/>
      <c r="BC40" s="866"/>
      <c r="BD40" s="866"/>
      <c r="BE40" s="866"/>
      <c r="BF40" s="866"/>
      <c r="BG40" s="866"/>
      <c r="BH40" s="866"/>
      <c r="BI40" s="866"/>
      <c r="BJ40" s="866"/>
      <c r="BK40" s="866"/>
      <c r="BL40" s="866"/>
      <c r="BM40" s="866"/>
      <c r="BN40" s="866"/>
      <c r="BO40" s="866"/>
      <c r="BP40" s="866"/>
      <c r="BQ40" s="866"/>
      <c r="BR40" s="866"/>
      <c r="BS40" s="866"/>
      <c r="BT40" s="866"/>
      <c r="BU40" s="866"/>
      <c r="BV40" s="866"/>
      <c r="BW40" s="866"/>
      <c r="BX40" s="866"/>
      <c r="BY40" s="866"/>
      <c r="BZ40" s="866"/>
      <c r="CA40" s="866"/>
      <c r="CB40" s="866"/>
      <c r="CC40" s="866"/>
      <c r="CD40" s="866"/>
      <c r="CE40" s="866"/>
      <c r="CF40" s="866"/>
      <c r="CG40" s="866"/>
      <c r="CH40" s="866"/>
      <c r="CI40" s="866"/>
      <c r="CJ40" s="866"/>
      <c r="CK40" s="866"/>
      <c r="CL40" s="866"/>
      <c r="CM40" s="866"/>
      <c r="CN40" s="866"/>
      <c r="CO40" s="866"/>
      <c r="CP40" s="866"/>
      <c r="CQ40" s="866"/>
      <c r="CR40" s="866"/>
      <c r="CS40" s="866"/>
      <c r="CT40" s="866"/>
      <c r="CU40" s="866"/>
      <c r="CV40" s="866"/>
      <c r="CW40" s="866"/>
      <c r="CX40" s="866"/>
      <c r="CY40" s="866"/>
      <c r="CZ40" s="866"/>
      <c r="DA40" s="866"/>
      <c r="DB40" s="866"/>
      <c r="DC40" s="866"/>
      <c r="DD40" s="866"/>
      <c r="DE40" s="866"/>
      <c r="DF40" s="866"/>
      <c r="DG40" s="866"/>
      <c r="DH40" s="866"/>
      <c r="DI40" s="866"/>
      <c r="DJ40" s="866"/>
      <c r="DK40" s="866"/>
      <c r="DL40" s="866"/>
      <c r="DM40" s="866"/>
      <c r="DN40" s="866"/>
      <c r="DO40" s="867"/>
      <c r="DP40" s="113"/>
      <c r="DY40" s="113"/>
      <c r="DZ40" s="113"/>
      <c r="EA40" s="113"/>
      <c r="EB40" s="113"/>
      <c r="EC40" s="113"/>
      <c r="ED40" s="113"/>
      <c r="EE40" s="113"/>
      <c r="EF40" s="113"/>
      <c r="EG40" s="113"/>
      <c r="EH40" s="113"/>
    </row>
    <row r="41" spans="2:138" ht="13.5" customHeight="1">
      <c r="B41" s="754" t="str">
        <f>VLOOKUP("lieferantproduktionsstandort",Translations!$A:$T,MATCH(DR19,Translations!A2:P2,0),0)</f>
        <v>Supplier/Production plant:</v>
      </c>
      <c r="C41" s="755"/>
      <c r="D41" s="755"/>
      <c r="E41" s="755"/>
      <c r="F41" s="755"/>
      <c r="G41" s="755"/>
      <c r="H41" s="861"/>
      <c r="I41" s="861"/>
      <c r="J41" s="861"/>
      <c r="K41" s="861"/>
      <c r="L41" s="861"/>
      <c r="M41" s="861"/>
      <c r="N41" s="861"/>
      <c r="O41" s="861"/>
      <c r="P41" s="861"/>
      <c r="Q41" s="861"/>
      <c r="R41" s="861"/>
      <c r="S41" s="861"/>
      <c r="T41" s="874"/>
      <c r="U41" s="748" t="str">
        <f>VLOOKUP("kennnummerduns",Translations!$A:$T,MATCH(DR19,Translations!A2:P2,0),0)</f>
        <v>ID number / DUNS:</v>
      </c>
      <c r="V41" s="749"/>
      <c r="W41" s="749"/>
      <c r="X41" s="749"/>
      <c r="Y41" s="749"/>
      <c r="Z41" s="749"/>
      <c r="AA41" s="749"/>
      <c r="AB41" s="749"/>
      <c r="AC41" s="749"/>
      <c r="AD41" s="749"/>
      <c r="AE41" s="749"/>
      <c r="AF41" s="749"/>
      <c r="AG41" s="749"/>
      <c r="AH41" s="749"/>
      <c r="AI41" s="749"/>
      <c r="AJ41" s="749"/>
      <c r="AK41" s="749"/>
      <c r="AL41" s="855"/>
      <c r="AM41" s="855"/>
      <c r="AN41" s="855"/>
      <c r="AO41" s="855"/>
      <c r="AP41" s="855"/>
      <c r="AQ41" s="855"/>
      <c r="AR41" s="855"/>
      <c r="AS41" s="855"/>
      <c r="AT41" s="855"/>
      <c r="AU41" s="855"/>
      <c r="AV41" s="855"/>
      <c r="AW41" s="855"/>
      <c r="AX41" s="855"/>
      <c r="AY41" s="855"/>
      <c r="AZ41" s="855"/>
      <c r="BA41" s="855"/>
      <c r="BB41" s="855"/>
      <c r="BC41" s="855"/>
      <c r="BD41" s="855"/>
      <c r="BE41" s="855"/>
      <c r="BF41" s="855"/>
      <c r="BG41" s="855"/>
      <c r="BH41" s="855"/>
      <c r="BI41" s="855"/>
      <c r="BJ41" s="855"/>
      <c r="BK41" s="855"/>
      <c r="BL41" s="855"/>
      <c r="BM41" s="855"/>
      <c r="BN41" s="856"/>
      <c r="BO41" s="748" t="str">
        <f>VLOOKUP("kunde",Translations!$A:$T,MATCH(DR19,Translations!A2:P2,0),0)</f>
        <v>Customer:</v>
      </c>
      <c r="BP41" s="749"/>
      <c r="BQ41" s="749"/>
      <c r="BR41" s="749"/>
      <c r="BS41" s="749"/>
      <c r="BT41" s="749"/>
      <c r="BU41" s="749"/>
      <c r="BV41" s="749"/>
      <c r="BW41" s="749"/>
      <c r="BX41" s="749"/>
      <c r="BY41" s="749"/>
      <c r="BZ41" s="749"/>
      <c r="CA41" s="749"/>
      <c r="CB41" s="749"/>
      <c r="CC41" s="749"/>
      <c r="CD41" s="749"/>
      <c r="CE41" s="749"/>
      <c r="CF41" s="749"/>
      <c r="CG41" s="749"/>
      <c r="CH41" s="749"/>
      <c r="CI41" s="749"/>
      <c r="CJ41" s="749"/>
      <c r="CK41" s="749"/>
      <c r="CL41" s="749"/>
      <c r="CM41" s="749"/>
      <c r="CN41" s="749"/>
      <c r="CO41" s="749"/>
      <c r="CP41" s="861"/>
      <c r="CQ41" s="861"/>
      <c r="CR41" s="861"/>
      <c r="CS41" s="861"/>
      <c r="CT41" s="861"/>
      <c r="CU41" s="861"/>
      <c r="CV41" s="861"/>
      <c r="CW41" s="861"/>
      <c r="CX41" s="861"/>
      <c r="CY41" s="861"/>
      <c r="CZ41" s="861"/>
      <c r="DA41" s="861"/>
      <c r="DB41" s="861"/>
      <c r="DC41" s="861"/>
      <c r="DD41" s="861"/>
      <c r="DE41" s="861"/>
      <c r="DF41" s="861"/>
      <c r="DG41" s="861"/>
      <c r="DH41" s="861"/>
      <c r="DI41" s="861"/>
      <c r="DJ41" s="861"/>
      <c r="DK41" s="861"/>
      <c r="DL41" s="861"/>
      <c r="DM41" s="861"/>
      <c r="DN41" s="861"/>
      <c r="DO41" s="862"/>
      <c r="DP41" s="113"/>
      <c r="DQ41" s="44"/>
      <c r="DR41" s="44"/>
      <c r="DS41" s="44"/>
      <c r="DT41" s="44"/>
      <c r="DU41" s="44"/>
      <c r="DY41" s="113"/>
      <c r="DZ41" s="113"/>
      <c r="EA41" s="113"/>
      <c r="EB41" s="113"/>
      <c r="EC41" s="113"/>
      <c r="ED41" s="113"/>
      <c r="EE41" s="113"/>
      <c r="EF41" s="113"/>
      <c r="EG41" s="113"/>
      <c r="EH41" s="113"/>
    </row>
    <row r="42" spans="2:138" ht="13.5" customHeight="1">
      <c r="B42" s="732" t="str">
        <f>VLOOKUP("benennung",Translations!$A:$T,MATCH(DR19,Translations!A2:P2,0),0)</f>
        <v>Part description:</v>
      </c>
      <c r="C42" s="733"/>
      <c r="D42" s="733"/>
      <c r="E42" s="733"/>
      <c r="F42" s="733"/>
      <c r="G42" s="751"/>
      <c r="H42" s="751"/>
      <c r="I42" s="751"/>
      <c r="J42" s="751"/>
      <c r="K42" s="751"/>
      <c r="L42" s="751"/>
      <c r="M42" s="751"/>
      <c r="N42" s="751"/>
      <c r="O42" s="751"/>
      <c r="P42" s="751"/>
      <c r="Q42" s="751"/>
      <c r="R42" s="751"/>
      <c r="S42" s="751"/>
      <c r="T42" s="875"/>
      <c r="U42" s="742" t="str">
        <f>VLOOKUP("deliveryyyyy",Translations!$A:$T,MATCH(DR19,Translations!A2:P2,0),0)</f>
        <v>Delivery note No.:</v>
      </c>
      <c r="V42" s="743"/>
      <c r="W42" s="743"/>
      <c r="X42" s="743"/>
      <c r="Y42" s="743"/>
      <c r="Z42" s="743"/>
      <c r="AA42" s="743"/>
      <c r="AB42" s="743"/>
      <c r="AC42" s="743"/>
      <c r="AD42" s="743"/>
      <c r="AE42" s="743"/>
      <c r="AF42" s="743"/>
      <c r="AG42" s="743"/>
      <c r="AH42" s="743"/>
      <c r="AI42" s="743"/>
      <c r="AJ42" s="743"/>
      <c r="AK42" s="743"/>
      <c r="AL42" s="857"/>
      <c r="AM42" s="857"/>
      <c r="AN42" s="857"/>
      <c r="AO42" s="857"/>
      <c r="AP42" s="857"/>
      <c r="AQ42" s="857"/>
      <c r="AR42" s="857"/>
      <c r="AS42" s="857"/>
      <c r="AT42" s="857"/>
      <c r="AU42" s="857"/>
      <c r="AV42" s="857"/>
      <c r="AW42" s="857"/>
      <c r="AX42" s="857"/>
      <c r="AY42" s="857"/>
      <c r="AZ42" s="857"/>
      <c r="BA42" s="857"/>
      <c r="BB42" s="857"/>
      <c r="BC42" s="857"/>
      <c r="BD42" s="857"/>
      <c r="BE42" s="857"/>
      <c r="BF42" s="857"/>
      <c r="BG42" s="857"/>
      <c r="BH42" s="857"/>
      <c r="BI42" s="857"/>
      <c r="BJ42" s="857"/>
      <c r="BK42" s="857"/>
      <c r="BL42" s="857"/>
      <c r="BM42" s="857"/>
      <c r="BN42" s="858"/>
      <c r="BO42" s="742" t="str">
        <f>VLOOKUP("berichts-nr",Translations!$A:$T,MATCH(DR19,Translations!A2:P2,0),0)</f>
        <v>Report No.:</v>
      </c>
      <c r="BP42" s="743"/>
      <c r="BQ42" s="743"/>
      <c r="BR42" s="743"/>
      <c r="BS42" s="743"/>
      <c r="BT42" s="743"/>
      <c r="BU42" s="743"/>
      <c r="BV42" s="743"/>
      <c r="BW42" s="743"/>
      <c r="BX42" s="743"/>
      <c r="BY42" s="743"/>
      <c r="BZ42" s="743"/>
      <c r="CA42" s="743"/>
      <c r="CB42" s="743"/>
      <c r="CC42" s="743"/>
      <c r="CD42" s="743"/>
      <c r="CE42" s="743"/>
      <c r="CF42" s="743"/>
      <c r="CG42" s="743"/>
      <c r="CH42" s="743"/>
      <c r="CI42" s="743"/>
      <c r="CJ42" s="743"/>
      <c r="CK42" s="743"/>
      <c r="CL42" s="743"/>
      <c r="CM42" s="743"/>
      <c r="CN42" s="743"/>
      <c r="CO42" s="743"/>
      <c r="CP42" s="751"/>
      <c r="CQ42" s="751"/>
      <c r="CR42" s="751"/>
      <c r="CS42" s="751"/>
      <c r="CT42" s="751"/>
      <c r="CU42" s="751"/>
      <c r="CV42" s="751"/>
      <c r="CW42" s="751"/>
      <c r="CX42" s="751"/>
      <c r="CY42" s="751"/>
      <c r="CZ42" s="751"/>
      <c r="DA42" s="751"/>
      <c r="DB42" s="751"/>
      <c r="DC42" s="751"/>
      <c r="DD42" s="751"/>
      <c r="DE42" s="751"/>
      <c r="DF42" s="751"/>
      <c r="DG42" s="751"/>
      <c r="DH42" s="751"/>
      <c r="DI42" s="751"/>
      <c r="DJ42" s="751"/>
      <c r="DK42" s="751"/>
      <c r="DL42" s="751"/>
      <c r="DM42" s="751"/>
      <c r="DN42" s="751"/>
      <c r="DO42" s="752"/>
      <c r="DP42" s="113"/>
      <c r="DQ42" s="44"/>
      <c r="DR42" s="44"/>
      <c r="DS42" s="44"/>
      <c r="DT42" s="44"/>
      <c r="DU42" s="44"/>
      <c r="DY42" s="113"/>
      <c r="DZ42" s="113"/>
      <c r="EA42" s="113"/>
      <c r="EB42" s="113"/>
      <c r="EC42" s="113"/>
      <c r="ED42" s="113"/>
      <c r="EE42" s="113"/>
      <c r="EF42" s="113"/>
      <c r="EG42" s="113"/>
      <c r="EH42" s="113"/>
    </row>
    <row r="43" spans="2:138" ht="13.5" customHeight="1">
      <c r="B43" s="732" t="str">
        <f>VLOOKUP("sachnummer",Translations!$A:$T,MATCH(DR19,Translations!A2:P2,0),0)</f>
        <v>Part number:</v>
      </c>
      <c r="C43" s="733"/>
      <c r="D43" s="733"/>
      <c r="E43" s="733"/>
      <c r="F43" s="71"/>
      <c r="G43" s="751"/>
      <c r="H43" s="751"/>
      <c r="I43" s="751"/>
      <c r="J43" s="751"/>
      <c r="K43" s="751"/>
      <c r="L43" s="751"/>
      <c r="M43" s="751"/>
      <c r="N43" s="751"/>
      <c r="O43" s="751"/>
      <c r="P43" s="751"/>
      <c r="Q43" s="751"/>
      <c r="R43" s="751"/>
      <c r="S43" s="751"/>
      <c r="T43" s="875"/>
      <c r="U43" s="742" t="str">
        <f>VLOOKUP("liefermenge",Translations!$A:$T,MATCH(DR19,Translations!A2:P2,0),0)</f>
        <v>Quantity supplied:</v>
      </c>
      <c r="V43" s="743"/>
      <c r="W43" s="743"/>
      <c r="X43" s="743"/>
      <c r="Y43" s="743"/>
      <c r="Z43" s="743"/>
      <c r="AA43" s="743"/>
      <c r="AB43" s="743"/>
      <c r="AC43" s="743"/>
      <c r="AD43" s="743"/>
      <c r="AE43" s="743"/>
      <c r="AF43" s="743"/>
      <c r="AG43" s="743"/>
      <c r="AH43" s="743"/>
      <c r="AI43" s="743"/>
      <c r="AJ43" s="743"/>
      <c r="AK43" s="743"/>
      <c r="AL43" s="857"/>
      <c r="AM43" s="857"/>
      <c r="AN43" s="857"/>
      <c r="AO43" s="857"/>
      <c r="AP43" s="857"/>
      <c r="AQ43" s="857"/>
      <c r="AR43" s="857"/>
      <c r="AS43" s="857"/>
      <c r="AT43" s="857"/>
      <c r="AU43" s="857"/>
      <c r="AV43" s="857"/>
      <c r="AW43" s="857"/>
      <c r="AX43" s="857"/>
      <c r="AY43" s="857"/>
      <c r="AZ43" s="857"/>
      <c r="BA43" s="857"/>
      <c r="BB43" s="857"/>
      <c r="BC43" s="857"/>
      <c r="BD43" s="857"/>
      <c r="BE43" s="857"/>
      <c r="BF43" s="857"/>
      <c r="BG43" s="857"/>
      <c r="BH43" s="857"/>
      <c r="BI43" s="857"/>
      <c r="BJ43" s="857"/>
      <c r="BK43" s="857"/>
      <c r="BL43" s="857"/>
      <c r="BM43" s="857"/>
      <c r="BN43" s="858"/>
      <c r="BO43" s="742" t="str">
        <f>VLOOKUP("wareneingangs-nrdatum",Translations!$A:$T,MATCH(DR19,Translations!A2:P2,0),0)</f>
        <v>Goods inwards No./ Date:</v>
      </c>
      <c r="BP43" s="743"/>
      <c r="BQ43" s="743"/>
      <c r="BR43" s="743"/>
      <c r="BS43" s="743"/>
      <c r="BT43" s="743"/>
      <c r="BU43" s="743"/>
      <c r="BV43" s="743"/>
      <c r="BW43" s="743"/>
      <c r="BX43" s="743"/>
      <c r="BY43" s="743"/>
      <c r="BZ43" s="743"/>
      <c r="CA43" s="743"/>
      <c r="CB43" s="743"/>
      <c r="CC43" s="743"/>
      <c r="CD43" s="743"/>
      <c r="CE43" s="743"/>
      <c r="CF43" s="743"/>
      <c r="CG43" s="743"/>
      <c r="CH43" s="743"/>
      <c r="CI43" s="743"/>
      <c r="CJ43" s="743"/>
      <c r="CK43" s="743"/>
      <c r="CL43" s="743"/>
      <c r="CM43" s="743"/>
      <c r="CN43" s="743"/>
      <c r="CO43" s="743"/>
      <c r="CP43" s="751"/>
      <c r="CQ43" s="751"/>
      <c r="CR43" s="751"/>
      <c r="CS43" s="751"/>
      <c r="CT43" s="751"/>
      <c r="CU43" s="751"/>
      <c r="CV43" s="751"/>
      <c r="CW43" s="751"/>
      <c r="CX43" s="751"/>
      <c r="CY43" s="751"/>
      <c r="CZ43" s="751"/>
      <c r="DA43" s="751"/>
      <c r="DB43" s="751"/>
      <c r="DC43" s="751"/>
      <c r="DD43" s="751"/>
      <c r="DE43" s="751"/>
      <c r="DF43" s="751"/>
      <c r="DG43" s="751"/>
      <c r="DH43" s="751"/>
      <c r="DI43" s="751"/>
      <c r="DJ43" s="751"/>
      <c r="DK43" s="751"/>
      <c r="DL43" s="751"/>
      <c r="DM43" s="751"/>
      <c r="DN43" s="751"/>
      <c r="DO43" s="752"/>
      <c r="DP43" s="113"/>
      <c r="DQ43" s="44"/>
      <c r="DR43" s="44"/>
      <c r="DS43" s="44"/>
      <c r="DT43" s="44"/>
      <c r="DU43" s="44"/>
      <c r="DY43" s="113"/>
      <c r="DZ43" s="113"/>
      <c r="EA43" s="113"/>
      <c r="EB43" s="113"/>
      <c r="EC43" s="113"/>
      <c r="ED43" s="113"/>
      <c r="EE43" s="113"/>
      <c r="EF43" s="113"/>
      <c r="EG43" s="113"/>
      <c r="EH43" s="113"/>
    </row>
    <row r="44" spans="2:138" ht="13.5" customHeight="1">
      <c r="B44" s="732" t="str">
        <f>Content!Q7</f>
        <v>Drawing number:</v>
      </c>
      <c r="C44" s="733"/>
      <c r="D44" s="733"/>
      <c r="E44" s="733"/>
      <c r="F44" s="733"/>
      <c r="G44" s="751"/>
      <c r="H44" s="751"/>
      <c r="I44" s="751"/>
      <c r="J44" s="751"/>
      <c r="K44" s="751"/>
      <c r="L44" s="751"/>
      <c r="M44" s="751"/>
      <c r="N44" s="751"/>
      <c r="O44" s="751"/>
      <c r="P44" s="751"/>
      <c r="Q44" s="751"/>
      <c r="R44" s="751"/>
      <c r="S44" s="751"/>
      <c r="T44" s="875"/>
      <c r="U44" s="742" t="str">
        <f>VLOOKUP("chargennummer",Translations!$A:$T,MATCH(DR19,Translations!A2:P2,0),0)</f>
        <v>Batch number:</v>
      </c>
      <c r="V44" s="743"/>
      <c r="W44" s="743"/>
      <c r="X44" s="743"/>
      <c r="Y44" s="743"/>
      <c r="Z44" s="743"/>
      <c r="AA44" s="743"/>
      <c r="AB44" s="743"/>
      <c r="AC44" s="743"/>
      <c r="AD44" s="743"/>
      <c r="AE44" s="743"/>
      <c r="AF44" s="743"/>
      <c r="AG44" s="743"/>
      <c r="AH44" s="743"/>
      <c r="AI44" s="743"/>
      <c r="AJ44" s="743"/>
      <c r="AK44" s="743"/>
      <c r="AL44" s="857"/>
      <c r="AM44" s="857"/>
      <c r="AN44" s="857"/>
      <c r="AO44" s="857"/>
      <c r="AP44" s="857"/>
      <c r="AQ44" s="857"/>
      <c r="AR44" s="857"/>
      <c r="AS44" s="857"/>
      <c r="AT44" s="857"/>
      <c r="AU44" s="857"/>
      <c r="AV44" s="857"/>
      <c r="AW44" s="857"/>
      <c r="AX44" s="857"/>
      <c r="AY44" s="857"/>
      <c r="AZ44" s="857"/>
      <c r="BA44" s="857"/>
      <c r="BB44" s="857"/>
      <c r="BC44" s="857"/>
      <c r="BD44" s="857"/>
      <c r="BE44" s="857"/>
      <c r="BF44" s="857"/>
      <c r="BG44" s="857"/>
      <c r="BH44" s="857"/>
      <c r="BI44" s="857"/>
      <c r="BJ44" s="857"/>
      <c r="BK44" s="857"/>
      <c r="BL44" s="857"/>
      <c r="BM44" s="857"/>
      <c r="BN44" s="858"/>
      <c r="BO44" s="742" t="str">
        <f>VLOOKUP("orderrrrr",Translations!$A:$T,MATCH(DR19,Translations!A2:P2,0),0)</f>
        <v>Order schedule No./ Date:</v>
      </c>
      <c r="BP44" s="743"/>
      <c r="BQ44" s="743"/>
      <c r="BR44" s="743"/>
      <c r="BS44" s="743"/>
      <c r="BT44" s="743"/>
      <c r="BU44" s="743"/>
      <c r="BV44" s="743"/>
      <c r="BW44" s="743"/>
      <c r="BX44" s="743"/>
      <c r="BY44" s="743"/>
      <c r="BZ44" s="743"/>
      <c r="CA44" s="743"/>
      <c r="CB44" s="743"/>
      <c r="CC44" s="743"/>
      <c r="CD44" s="743"/>
      <c r="CE44" s="743"/>
      <c r="CF44" s="743"/>
      <c r="CG44" s="743"/>
      <c r="CH44" s="743"/>
      <c r="CI44" s="743"/>
      <c r="CJ44" s="743"/>
      <c r="CK44" s="743"/>
      <c r="CL44" s="743"/>
      <c r="CM44" s="743"/>
      <c r="CN44" s="743"/>
      <c r="CO44" s="743"/>
      <c r="CP44" s="751"/>
      <c r="CQ44" s="751"/>
      <c r="CR44" s="751"/>
      <c r="CS44" s="751"/>
      <c r="CT44" s="751"/>
      <c r="CU44" s="751"/>
      <c r="CV44" s="751"/>
      <c r="CW44" s="751"/>
      <c r="CX44" s="751"/>
      <c r="CY44" s="751"/>
      <c r="CZ44" s="751"/>
      <c r="DA44" s="751"/>
      <c r="DB44" s="751"/>
      <c r="DC44" s="751"/>
      <c r="DD44" s="751"/>
      <c r="DE44" s="751"/>
      <c r="DF44" s="751"/>
      <c r="DG44" s="751"/>
      <c r="DH44" s="751"/>
      <c r="DI44" s="751"/>
      <c r="DJ44" s="751"/>
      <c r="DK44" s="751"/>
      <c r="DL44" s="751"/>
      <c r="DM44" s="751"/>
      <c r="DN44" s="751"/>
      <c r="DO44" s="752"/>
      <c r="DP44" s="113"/>
      <c r="DY44" s="113"/>
      <c r="DZ44" s="113"/>
      <c r="EA44" s="113"/>
      <c r="EB44" s="113"/>
      <c r="EC44" s="113"/>
      <c r="ED44" s="113"/>
      <c r="EE44" s="113"/>
      <c r="EF44" s="113"/>
      <c r="EG44" s="113"/>
      <c r="EH44" s="113"/>
    </row>
    <row r="45" spans="2:138" ht="13.5" customHeight="1" thickBot="1">
      <c r="B45" s="794" t="str">
        <f>VLOOKUP("standdatum",Translations!$A:$T,MATCH(DR19,Translations!A2:P2,0),0)</f>
        <v>Issue / Date:</v>
      </c>
      <c r="C45" s="795"/>
      <c r="D45" s="795"/>
      <c r="E45" s="795"/>
      <c r="F45" s="795"/>
      <c r="G45" s="863"/>
      <c r="H45" s="863"/>
      <c r="I45" s="863"/>
      <c r="J45" s="863"/>
      <c r="K45" s="863"/>
      <c r="L45" s="863"/>
      <c r="M45" s="863"/>
      <c r="N45" s="863"/>
      <c r="O45" s="863"/>
      <c r="P45" s="863"/>
      <c r="Q45" s="863"/>
      <c r="R45" s="863"/>
      <c r="S45" s="863"/>
      <c r="T45" s="876"/>
      <c r="U45" s="805" t="str">
        <f>VLOOKUP("mustergewicht",Translations!$A:$T,MATCH(DR19,Translations!A2:P2,0),0)</f>
        <v>Sample weight:</v>
      </c>
      <c r="V45" s="806"/>
      <c r="W45" s="806"/>
      <c r="X45" s="806"/>
      <c r="Y45" s="806"/>
      <c r="Z45" s="806"/>
      <c r="AA45" s="806"/>
      <c r="AB45" s="806"/>
      <c r="AC45" s="806"/>
      <c r="AD45" s="806"/>
      <c r="AE45" s="806"/>
      <c r="AF45" s="806"/>
      <c r="AG45" s="806"/>
      <c r="AH45" s="806"/>
      <c r="AI45" s="806"/>
      <c r="AJ45" s="806"/>
      <c r="AK45" s="806"/>
      <c r="AL45" s="859"/>
      <c r="AM45" s="859"/>
      <c r="AN45" s="859"/>
      <c r="AO45" s="859"/>
      <c r="AP45" s="859"/>
      <c r="AQ45" s="859"/>
      <c r="AR45" s="859"/>
      <c r="AS45" s="859"/>
      <c r="AT45" s="859"/>
      <c r="AU45" s="859"/>
      <c r="AV45" s="859"/>
      <c r="AW45" s="859"/>
      <c r="AX45" s="859"/>
      <c r="AY45" s="859"/>
      <c r="AZ45" s="859"/>
      <c r="BA45" s="859"/>
      <c r="BB45" s="859"/>
      <c r="BC45" s="859"/>
      <c r="BD45" s="859"/>
      <c r="BE45" s="859"/>
      <c r="BF45" s="859"/>
      <c r="BG45" s="859"/>
      <c r="BH45" s="859"/>
      <c r="BI45" s="859"/>
      <c r="BJ45" s="859"/>
      <c r="BK45" s="859"/>
      <c r="BL45" s="859"/>
      <c r="BM45" s="859"/>
      <c r="BN45" s="860"/>
      <c r="BO45" s="805" t="str">
        <f>VLOOKUP("abladestelle",Translations!$A:$T,MATCH(DR19,Translations!A2:P2,0),0)</f>
        <v>Unloading point:</v>
      </c>
      <c r="BP45" s="806"/>
      <c r="BQ45" s="806"/>
      <c r="BR45" s="806"/>
      <c r="BS45" s="806"/>
      <c r="BT45" s="806"/>
      <c r="BU45" s="806"/>
      <c r="BV45" s="806"/>
      <c r="BW45" s="806"/>
      <c r="BX45" s="806"/>
      <c r="BY45" s="806"/>
      <c r="BZ45" s="806"/>
      <c r="CA45" s="806"/>
      <c r="CB45" s="806"/>
      <c r="CC45" s="806"/>
      <c r="CD45" s="806"/>
      <c r="CE45" s="806"/>
      <c r="CF45" s="806"/>
      <c r="CG45" s="806"/>
      <c r="CH45" s="806"/>
      <c r="CI45" s="806"/>
      <c r="CJ45" s="806"/>
      <c r="CK45" s="806"/>
      <c r="CL45" s="806"/>
      <c r="CM45" s="806"/>
      <c r="CN45" s="806"/>
      <c r="CO45" s="806"/>
      <c r="CP45" s="863"/>
      <c r="CQ45" s="863"/>
      <c r="CR45" s="863"/>
      <c r="CS45" s="863"/>
      <c r="CT45" s="863"/>
      <c r="CU45" s="863"/>
      <c r="CV45" s="863"/>
      <c r="CW45" s="863"/>
      <c r="CX45" s="863"/>
      <c r="CY45" s="863"/>
      <c r="CZ45" s="863"/>
      <c r="DA45" s="863"/>
      <c r="DB45" s="863"/>
      <c r="DC45" s="863"/>
      <c r="DD45" s="863"/>
      <c r="DE45" s="863"/>
      <c r="DF45" s="863"/>
      <c r="DG45" s="863"/>
      <c r="DH45" s="863"/>
      <c r="DI45" s="863"/>
      <c r="DJ45" s="863"/>
      <c r="DK45" s="863"/>
      <c r="DL45" s="863"/>
      <c r="DM45" s="863"/>
      <c r="DN45" s="863"/>
      <c r="DO45" s="864"/>
      <c r="DP45" s="113"/>
      <c r="DY45" s="113"/>
      <c r="DZ45" s="113"/>
      <c r="EA45" s="113"/>
      <c r="EB45" s="113"/>
      <c r="EC45" s="113"/>
      <c r="ED45" s="113"/>
      <c r="EE45" s="113"/>
      <c r="EF45" s="113"/>
      <c r="EG45" s="113"/>
      <c r="EH45" s="113"/>
    </row>
    <row r="46" spans="2:138" ht="13.5" customHeight="1" thickBot="1">
      <c r="B46" s="766" t="str">
        <f>VLOOKUP("bestätigunglieferant",Translations!$A:$T,MATCH(DR19,Translations!A2:P2,0),0)</f>
        <v>Confirmation Supplier - It is hereby confirmed that the sample submission has been carried out in accordance with the agreed submission level to VDA volume 2</v>
      </c>
      <c r="C46" s="767"/>
      <c r="D46" s="767"/>
      <c r="E46" s="767"/>
      <c r="F46" s="767"/>
      <c r="G46" s="767"/>
      <c r="H46" s="767"/>
      <c r="I46" s="767"/>
      <c r="J46" s="767"/>
      <c r="K46" s="767"/>
      <c r="L46" s="767"/>
      <c r="M46" s="767"/>
      <c r="N46" s="767"/>
      <c r="O46" s="767"/>
      <c r="P46" s="767"/>
      <c r="Q46" s="767"/>
      <c r="R46" s="767"/>
      <c r="S46" s="767"/>
      <c r="T46" s="767"/>
      <c r="U46" s="767"/>
      <c r="V46" s="767"/>
      <c r="W46" s="767"/>
      <c r="X46" s="767"/>
      <c r="Y46" s="767"/>
      <c r="Z46" s="767"/>
      <c r="AA46" s="767"/>
      <c r="AB46" s="767"/>
      <c r="AC46" s="767"/>
      <c r="AD46" s="767"/>
      <c r="AE46" s="767"/>
      <c r="AF46" s="767"/>
      <c r="AG46" s="767"/>
      <c r="AH46" s="767"/>
      <c r="AI46" s="767"/>
      <c r="AJ46" s="767"/>
      <c r="AK46" s="767"/>
      <c r="AL46" s="767"/>
      <c r="AM46" s="767"/>
      <c r="AN46" s="767"/>
      <c r="AO46" s="767"/>
      <c r="AP46" s="767"/>
      <c r="AQ46" s="767"/>
      <c r="AR46" s="767"/>
      <c r="AS46" s="767"/>
      <c r="AT46" s="767"/>
      <c r="AU46" s="767"/>
      <c r="AV46" s="767"/>
      <c r="AW46" s="767"/>
      <c r="AX46" s="767"/>
      <c r="AY46" s="767"/>
      <c r="AZ46" s="767"/>
      <c r="BA46" s="767"/>
      <c r="BB46" s="767"/>
      <c r="BC46" s="767"/>
      <c r="BD46" s="767"/>
      <c r="BE46" s="767"/>
      <c r="BF46" s="767"/>
      <c r="BG46" s="767"/>
      <c r="BH46" s="767"/>
      <c r="BI46" s="767"/>
      <c r="BJ46" s="767"/>
      <c r="BK46" s="767"/>
      <c r="BL46" s="767"/>
      <c r="BM46" s="767"/>
      <c r="BN46" s="767"/>
      <c r="BO46" s="767"/>
      <c r="BP46" s="767"/>
      <c r="BQ46" s="767"/>
      <c r="BR46" s="767"/>
      <c r="BS46" s="767"/>
      <c r="BT46" s="767"/>
      <c r="BU46" s="767"/>
      <c r="BV46" s="767"/>
      <c r="BW46" s="767"/>
      <c r="BX46" s="767"/>
      <c r="BY46" s="767"/>
      <c r="BZ46" s="767"/>
      <c r="CA46" s="767"/>
      <c r="CB46" s="767"/>
      <c r="CC46" s="767"/>
      <c r="CD46" s="767"/>
      <c r="CE46" s="767"/>
      <c r="CF46" s="767"/>
      <c r="CG46" s="767"/>
      <c r="CH46" s="767"/>
      <c r="CI46" s="767"/>
      <c r="CJ46" s="767"/>
      <c r="CK46" s="767"/>
      <c r="CL46" s="767"/>
      <c r="CM46" s="767"/>
      <c r="CN46" s="767"/>
      <c r="CO46" s="767"/>
      <c r="CP46" s="767"/>
      <c r="CQ46" s="767"/>
      <c r="CR46" s="767"/>
      <c r="CS46" s="767"/>
      <c r="CT46" s="767"/>
      <c r="CU46" s="767"/>
      <c r="CV46" s="767"/>
      <c r="CW46" s="767"/>
      <c r="CX46" s="767"/>
      <c r="CY46" s="767"/>
      <c r="CZ46" s="767"/>
      <c r="DA46" s="767"/>
      <c r="DB46" s="767"/>
      <c r="DC46" s="767"/>
      <c r="DD46" s="767"/>
      <c r="DE46" s="767"/>
      <c r="DF46" s="767"/>
      <c r="DG46" s="767"/>
      <c r="DH46" s="767"/>
      <c r="DI46" s="767"/>
      <c r="DJ46" s="767"/>
      <c r="DK46" s="767"/>
      <c r="DL46" s="767"/>
      <c r="DM46" s="767"/>
      <c r="DN46" s="767"/>
      <c r="DO46" s="768"/>
      <c r="DP46" s="113"/>
      <c r="DY46" s="113"/>
      <c r="DZ46" s="113"/>
      <c r="EA46" s="113"/>
      <c r="EB46" s="113"/>
      <c r="EC46" s="113"/>
      <c r="ED46" s="113"/>
      <c r="EE46" s="113"/>
      <c r="EF46" s="113"/>
      <c r="EG46" s="113"/>
      <c r="EH46" s="113"/>
    </row>
    <row r="47" spans="2:138" ht="2.25" customHeight="1">
      <c r="B47" s="798" t="str">
        <f>VLOOKUP("name",Translations!$A:$T,MATCH(DR19,Translations!A2:P2,0),0)</f>
        <v>Name:</v>
      </c>
      <c r="C47" s="699"/>
      <c r="D47" s="699"/>
      <c r="E47" s="699"/>
      <c r="F47" s="799"/>
      <c r="G47" s="799"/>
      <c r="H47" s="799"/>
      <c r="I47" s="799"/>
      <c r="J47" s="799"/>
      <c r="K47" s="799"/>
      <c r="L47" s="699" t="str">
        <f>VLOOKUP("telefon",Translations!$A:$T,MATCH(DR19,Translations!A2:P2,0),0)</f>
        <v>Phone:</v>
      </c>
      <c r="M47" s="699"/>
      <c r="N47" s="800"/>
      <c r="O47" s="800"/>
      <c r="P47" s="800"/>
      <c r="Q47" s="800"/>
      <c r="R47" s="800"/>
      <c r="S47" s="800"/>
      <c r="T47" s="800"/>
      <c r="U47" s="800"/>
      <c r="V47" s="800"/>
      <c r="W47" s="800"/>
      <c r="X47" s="800"/>
      <c r="Y47" s="800"/>
      <c r="Z47" s="800"/>
      <c r="AA47" s="239"/>
      <c r="AB47" s="240"/>
      <c r="AC47" s="237"/>
      <c r="AD47" s="235"/>
      <c r="AE47" s="235"/>
      <c r="AF47" s="235"/>
      <c r="AG47" s="237"/>
      <c r="AH47" s="871" t="str">
        <f>VLOOKUP("deimdsnr",Translations!$A:$T,MATCH(DR19,Translations!A2:P2,0),0)</f>
        <v>IMDS data-set has been drawn up under IMDS ID No.:</v>
      </c>
      <c r="AI47" s="871"/>
      <c r="AJ47" s="871"/>
      <c r="AK47" s="871"/>
      <c r="AL47" s="871"/>
      <c r="AM47" s="871"/>
      <c r="AN47" s="871"/>
      <c r="AO47" s="871"/>
      <c r="AP47" s="871"/>
      <c r="AQ47" s="871"/>
      <c r="AR47" s="871"/>
      <c r="AS47" s="871"/>
      <c r="AT47" s="871"/>
      <c r="AU47" s="871"/>
      <c r="AV47" s="871"/>
      <c r="AW47" s="871"/>
      <c r="AX47" s="871"/>
      <c r="AY47" s="871"/>
      <c r="AZ47" s="871"/>
      <c r="BA47" s="871"/>
      <c r="BB47" s="871"/>
      <c r="BC47" s="871"/>
      <c r="BD47" s="871"/>
      <c r="BE47" s="871"/>
      <c r="BF47" s="871"/>
      <c r="BG47" s="871"/>
      <c r="BH47" s="871"/>
      <c r="BI47" s="871"/>
      <c r="BJ47" s="871"/>
      <c r="BK47" s="871"/>
      <c r="BL47" s="871"/>
      <c r="BM47" s="871"/>
      <c r="BN47" s="871"/>
      <c r="BO47" s="871"/>
      <c r="BP47" s="871"/>
      <c r="BQ47" s="871"/>
      <c r="BR47" s="871"/>
      <c r="BS47" s="871"/>
      <c r="BT47" s="871"/>
      <c r="BU47" s="871"/>
      <c r="BV47" s="871"/>
      <c r="BW47" s="871"/>
      <c r="BX47" s="871"/>
      <c r="BY47" s="871"/>
      <c r="BZ47" s="871"/>
      <c r="CA47" s="871"/>
      <c r="CB47" s="871"/>
      <c r="CC47" s="871"/>
      <c r="CD47" s="871"/>
      <c r="CE47" s="871"/>
      <c r="CF47" s="871"/>
      <c r="CG47" s="871"/>
      <c r="CH47" s="735"/>
      <c r="CI47" s="735"/>
      <c r="CJ47" s="735"/>
      <c r="CK47" s="735"/>
      <c r="CL47" s="735"/>
      <c r="CM47" s="735"/>
      <c r="CN47" s="735"/>
      <c r="CO47" s="735"/>
      <c r="CP47" s="735"/>
      <c r="CQ47" s="735"/>
      <c r="CR47" s="735"/>
      <c r="CS47" s="735"/>
      <c r="CT47" s="735"/>
      <c r="CU47" s="735"/>
      <c r="CV47" s="735"/>
      <c r="CW47" s="735"/>
      <c r="CX47" s="735"/>
      <c r="CY47" s="735"/>
      <c r="CZ47" s="735"/>
      <c r="DA47" s="735"/>
      <c r="DB47" s="735"/>
      <c r="DC47" s="735"/>
      <c r="DD47" s="735"/>
      <c r="DE47" s="735"/>
      <c r="DF47" s="735"/>
      <c r="DG47" s="735"/>
      <c r="DH47" s="735"/>
      <c r="DI47" s="735"/>
      <c r="DJ47" s="735"/>
      <c r="DK47" s="735"/>
      <c r="DL47" s="735"/>
      <c r="DM47" s="735"/>
      <c r="DN47" s="735"/>
      <c r="DO47" s="736"/>
      <c r="DP47" s="113"/>
      <c r="DY47" s="113"/>
      <c r="DZ47" s="113"/>
      <c r="EA47" s="113"/>
      <c r="EB47" s="113"/>
      <c r="EC47" s="113"/>
      <c r="ED47" s="113"/>
      <c r="EE47" s="113"/>
      <c r="EF47" s="113"/>
      <c r="EG47" s="113"/>
      <c r="EH47" s="113"/>
    </row>
    <row r="48" spans="2:138" ht="11.25" customHeight="1">
      <c r="B48" s="798"/>
      <c r="C48" s="699"/>
      <c r="D48" s="699"/>
      <c r="E48" s="699"/>
      <c r="F48" s="799"/>
      <c r="G48" s="799"/>
      <c r="H48" s="799"/>
      <c r="I48" s="799"/>
      <c r="J48" s="799"/>
      <c r="K48" s="799"/>
      <c r="L48" s="699"/>
      <c r="M48" s="699"/>
      <c r="N48" s="801"/>
      <c r="O48" s="801"/>
      <c r="P48" s="801"/>
      <c r="Q48" s="801"/>
      <c r="R48" s="801"/>
      <c r="S48" s="801"/>
      <c r="T48" s="801"/>
      <c r="U48" s="801"/>
      <c r="V48" s="801"/>
      <c r="W48" s="801"/>
      <c r="X48" s="801"/>
      <c r="Y48" s="801"/>
      <c r="Z48" s="801"/>
      <c r="AA48" s="217"/>
      <c r="AB48" s="97"/>
      <c r="AC48" s="238"/>
      <c r="AD48" s="236"/>
      <c r="AE48" s="243"/>
      <c r="AF48" s="236"/>
      <c r="AG48" s="238"/>
      <c r="AH48" s="872"/>
      <c r="AI48" s="872"/>
      <c r="AJ48" s="872"/>
      <c r="AK48" s="872"/>
      <c r="AL48" s="872"/>
      <c r="AM48" s="872"/>
      <c r="AN48" s="872"/>
      <c r="AO48" s="872"/>
      <c r="AP48" s="872"/>
      <c r="AQ48" s="872"/>
      <c r="AR48" s="872"/>
      <c r="AS48" s="872"/>
      <c r="AT48" s="872"/>
      <c r="AU48" s="872"/>
      <c r="AV48" s="872"/>
      <c r="AW48" s="872"/>
      <c r="AX48" s="872"/>
      <c r="AY48" s="872"/>
      <c r="AZ48" s="872"/>
      <c r="BA48" s="872"/>
      <c r="BB48" s="872"/>
      <c r="BC48" s="872"/>
      <c r="BD48" s="872"/>
      <c r="BE48" s="872"/>
      <c r="BF48" s="872"/>
      <c r="BG48" s="872"/>
      <c r="BH48" s="872"/>
      <c r="BI48" s="872"/>
      <c r="BJ48" s="872"/>
      <c r="BK48" s="872"/>
      <c r="BL48" s="872"/>
      <c r="BM48" s="872"/>
      <c r="BN48" s="872"/>
      <c r="BO48" s="872"/>
      <c r="BP48" s="872"/>
      <c r="BQ48" s="872"/>
      <c r="BR48" s="872"/>
      <c r="BS48" s="872"/>
      <c r="BT48" s="872"/>
      <c r="BU48" s="872"/>
      <c r="BV48" s="872"/>
      <c r="BW48" s="872"/>
      <c r="BX48" s="872"/>
      <c r="BY48" s="872"/>
      <c r="BZ48" s="872"/>
      <c r="CA48" s="872"/>
      <c r="CB48" s="872"/>
      <c r="CC48" s="872"/>
      <c r="CD48" s="872"/>
      <c r="CE48" s="872"/>
      <c r="CF48" s="872"/>
      <c r="CG48" s="872"/>
      <c r="CH48" s="737"/>
      <c r="CI48" s="737"/>
      <c r="CJ48" s="737"/>
      <c r="CK48" s="737"/>
      <c r="CL48" s="737"/>
      <c r="CM48" s="737"/>
      <c r="CN48" s="737"/>
      <c r="CO48" s="737"/>
      <c r="CP48" s="737"/>
      <c r="CQ48" s="737"/>
      <c r="CR48" s="737"/>
      <c r="CS48" s="737"/>
      <c r="CT48" s="737"/>
      <c r="CU48" s="737"/>
      <c r="CV48" s="737"/>
      <c r="CW48" s="737"/>
      <c r="CX48" s="737"/>
      <c r="CY48" s="737"/>
      <c r="CZ48" s="737"/>
      <c r="DA48" s="737"/>
      <c r="DB48" s="737"/>
      <c r="DC48" s="737"/>
      <c r="DD48" s="737"/>
      <c r="DE48" s="737"/>
      <c r="DF48" s="737"/>
      <c r="DG48" s="737"/>
      <c r="DH48" s="737"/>
      <c r="DI48" s="737"/>
      <c r="DJ48" s="737"/>
      <c r="DK48" s="737"/>
      <c r="DL48" s="737"/>
      <c r="DM48" s="737"/>
      <c r="DN48" s="737"/>
      <c r="DO48" s="738"/>
      <c r="DP48" s="113"/>
      <c r="DY48" s="113"/>
      <c r="DZ48" s="113"/>
      <c r="EA48" s="113"/>
      <c r="EB48" s="113"/>
      <c r="EC48" s="113"/>
      <c r="ED48" s="113"/>
      <c r="EE48" s="113"/>
      <c r="EF48" s="113"/>
      <c r="EG48" s="113"/>
      <c r="EH48" s="113"/>
    </row>
    <row r="49" spans="2:138" ht="1.5" customHeight="1">
      <c r="B49" s="58"/>
      <c r="C49" s="100"/>
      <c r="D49" s="100"/>
      <c r="E49" s="100"/>
      <c r="F49" s="771"/>
      <c r="G49" s="771"/>
      <c r="H49" s="771"/>
      <c r="I49" s="771"/>
      <c r="J49" s="771"/>
      <c r="K49" s="771"/>
      <c r="L49" s="138"/>
      <c r="M49" s="138"/>
      <c r="N49" s="772"/>
      <c r="O49" s="772"/>
      <c r="P49" s="772"/>
      <c r="Q49" s="772"/>
      <c r="R49" s="772"/>
      <c r="S49" s="772"/>
      <c r="T49" s="772"/>
      <c r="U49" s="772"/>
      <c r="V49" s="772"/>
      <c r="W49" s="772"/>
      <c r="X49" s="772"/>
      <c r="Y49" s="772"/>
      <c r="Z49" s="772"/>
      <c r="AA49" s="772"/>
      <c r="AB49" s="416"/>
      <c r="AC49" s="416"/>
      <c r="AD49" s="416"/>
      <c r="AE49" s="175"/>
      <c r="AF49" s="416"/>
      <c r="AG49" s="416"/>
      <c r="AH49" s="416"/>
      <c r="AI49" s="416"/>
      <c r="AJ49" s="416"/>
      <c r="AK49" s="416"/>
      <c r="AL49" s="416"/>
      <c r="AM49" s="416"/>
      <c r="AN49" s="416"/>
      <c r="AO49" s="416"/>
      <c r="AP49" s="416"/>
      <c r="AQ49" s="416"/>
      <c r="AR49" s="416"/>
      <c r="AS49" s="416"/>
      <c r="AT49" s="416"/>
      <c r="AU49" s="416"/>
      <c r="AV49" s="416"/>
      <c r="AW49" s="416"/>
      <c r="AX49" s="416"/>
      <c r="AY49" s="416"/>
      <c r="AZ49" s="416"/>
      <c r="BA49" s="416"/>
      <c r="BB49" s="416"/>
      <c r="BC49" s="416"/>
      <c r="BD49" s="416"/>
      <c r="BE49" s="416"/>
      <c r="BF49" s="416"/>
      <c r="BG49" s="416"/>
      <c r="BH49" s="416"/>
      <c r="BI49" s="416"/>
      <c r="BJ49" s="416"/>
      <c r="BK49" s="416"/>
      <c r="BL49" s="416"/>
      <c r="BM49" s="416"/>
      <c r="BN49" s="416"/>
      <c r="BO49" s="416"/>
      <c r="BP49" s="416"/>
      <c r="BQ49" s="416"/>
      <c r="BR49" s="416"/>
      <c r="BS49" s="416"/>
      <c r="BT49" s="416"/>
      <c r="BU49" s="416"/>
      <c r="BV49" s="416"/>
      <c r="BW49" s="416"/>
      <c r="BX49" s="416"/>
      <c r="BY49" s="416"/>
      <c r="BZ49" s="416"/>
      <c r="CA49" s="416"/>
      <c r="CB49" s="416"/>
      <c r="CC49" s="416"/>
      <c r="CD49" s="416"/>
      <c r="CE49" s="416"/>
      <c r="CF49" s="416"/>
      <c r="CG49" s="416"/>
      <c r="CH49" s="416"/>
      <c r="CI49" s="416"/>
      <c r="CJ49" s="416"/>
      <c r="CK49" s="416"/>
      <c r="CL49" s="416"/>
      <c r="CM49" s="416"/>
      <c r="CN49" s="416"/>
      <c r="CO49" s="416"/>
      <c r="CP49" s="416"/>
      <c r="CQ49" s="416"/>
      <c r="CR49" s="416"/>
      <c r="CS49" s="416"/>
      <c r="CT49" s="416"/>
      <c r="CU49" s="416"/>
      <c r="CV49" s="416"/>
      <c r="CW49" s="416"/>
      <c r="CX49" s="416"/>
      <c r="CY49" s="416"/>
      <c r="CZ49" s="416"/>
      <c r="DA49" s="416"/>
      <c r="DB49" s="416"/>
      <c r="DC49" s="416"/>
      <c r="DD49" s="416"/>
      <c r="DE49" s="416"/>
      <c r="DF49" s="416"/>
      <c r="DG49" s="416"/>
      <c r="DH49" s="416"/>
      <c r="DI49" s="416"/>
      <c r="DJ49" s="416"/>
      <c r="DK49" s="416"/>
      <c r="DL49" s="416"/>
      <c r="DM49" s="416"/>
      <c r="DN49" s="416"/>
      <c r="DO49" s="417"/>
      <c r="DP49" s="113"/>
      <c r="DY49" s="113"/>
      <c r="DZ49" s="113"/>
      <c r="EA49" s="113"/>
      <c r="EB49" s="113"/>
      <c r="EC49" s="113"/>
      <c r="ED49" s="113"/>
      <c r="EE49" s="113"/>
      <c r="EF49" s="113"/>
      <c r="EG49" s="113"/>
      <c r="EH49" s="113"/>
    </row>
    <row r="50" spans="2:138" ht="12.75" customHeight="1">
      <c r="B50" s="769" t="str">
        <f>VLOOKUP("abteilung",Translations!$A:$T,MATCH(DR19,Translations!A2:P2,0),0)</f>
        <v>Department:</v>
      </c>
      <c r="C50" s="770"/>
      <c r="D50" s="770"/>
      <c r="E50" s="770"/>
      <c r="F50" s="810"/>
      <c r="G50" s="810"/>
      <c r="H50" s="810"/>
      <c r="I50" s="810"/>
      <c r="J50" s="810"/>
      <c r="K50" s="810"/>
      <c r="L50" s="770" t="str">
        <f>VLOOKUP("faxe-mail",Translations!$A:$T,MATCH(DR19,Translations!A2:P2,0),0)</f>
        <v>Fax/Email:</v>
      </c>
      <c r="M50" s="770"/>
      <c r="N50" s="734"/>
      <c r="O50" s="734"/>
      <c r="P50" s="734"/>
      <c r="Q50" s="734"/>
      <c r="R50" s="734"/>
      <c r="S50" s="734"/>
      <c r="T50" s="734"/>
      <c r="U50" s="734"/>
      <c r="V50" s="734"/>
      <c r="W50" s="734"/>
      <c r="X50" s="734"/>
      <c r="Y50" s="734"/>
      <c r="Z50" s="734"/>
      <c r="AA50" s="241"/>
      <c r="AB50" s="773"/>
      <c r="AC50" s="773"/>
      <c r="AD50" s="773"/>
      <c r="AE50" s="773"/>
      <c r="AF50" s="773"/>
      <c r="AG50" s="773"/>
      <c r="AH50" s="773"/>
      <c r="AI50" s="773"/>
      <c r="AJ50" s="773"/>
      <c r="AK50" s="773"/>
      <c r="AL50" s="773"/>
      <c r="AM50" s="773"/>
      <c r="AN50" s="773"/>
      <c r="AO50" s="773"/>
      <c r="AP50" s="773"/>
      <c r="AQ50" s="773"/>
      <c r="AR50" s="773"/>
      <c r="AS50" s="773"/>
      <c r="AT50" s="773"/>
      <c r="AU50" s="773"/>
      <c r="AV50" s="773"/>
      <c r="AW50" s="773"/>
      <c r="AX50" s="773"/>
      <c r="AY50" s="773"/>
      <c r="AZ50" s="773"/>
      <c r="BA50" s="773"/>
      <c r="BB50" s="773"/>
      <c r="BC50" s="773"/>
      <c r="BD50" s="773"/>
      <c r="BE50" s="773"/>
      <c r="BF50" s="773"/>
      <c r="BG50" s="773"/>
      <c r="BH50" s="773"/>
      <c r="BI50" s="773"/>
      <c r="BJ50" s="773"/>
      <c r="BK50" s="773"/>
      <c r="BL50" s="773"/>
      <c r="BM50" s="773"/>
      <c r="BN50" s="773"/>
      <c r="BO50" s="773"/>
      <c r="BP50" s="773"/>
      <c r="BQ50" s="773"/>
      <c r="BR50" s="773"/>
      <c r="BS50" s="773"/>
      <c r="BT50" s="773"/>
      <c r="BU50" s="773"/>
      <c r="BV50" s="773"/>
      <c r="BW50" s="773"/>
      <c r="BX50" s="773"/>
      <c r="BY50" s="773"/>
      <c r="BZ50" s="773"/>
      <c r="CA50" s="773"/>
      <c r="CB50" s="773"/>
      <c r="CC50" s="773"/>
      <c r="CD50" s="773"/>
      <c r="CE50" s="773"/>
      <c r="CF50" s="773"/>
      <c r="CG50" s="773"/>
      <c r="CH50" s="773"/>
      <c r="CI50" s="773"/>
      <c r="CJ50" s="773"/>
      <c r="CK50" s="773"/>
      <c r="CL50" s="773"/>
      <c r="CM50" s="773"/>
      <c r="CN50" s="773"/>
      <c r="CO50" s="773"/>
      <c r="CP50" s="773"/>
      <c r="CQ50" s="773"/>
      <c r="CR50" s="773"/>
      <c r="CS50" s="773"/>
      <c r="CT50" s="773"/>
      <c r="CU50" s="773"/>
      <c r="CV50" s="773"/>
      <c r="CW50" s="773"/>
      <c r="CX50" s="773"/>
      <c r="CY50" s="773"/>
      <c r="CZ50" s="773"/>
      <c r="DA50" s="773"/>
      <c r="DB50" s="773"/>
      <c r="DC50" s="773"/>
      <c r="DD50" s="773"/>
      <c r="DE50" s="773"/>
      <c r="DF50" s="773"/>
      <c r="DG50" s="773"/>
      <c r="DH50" s="773"/>
      <c r="DI50" s="773"/>
      <c r="DJ50" s="773"/>
      <c r="DK50" s="773"/>
      <c r="DL50" s="773"/>
      <c r="DM50" s="773"/>
      <c r="DN50" s="773"/>
      <c r="DO50" s="774"/>
      <c r="DP50" s="113"/>
      <c r="DY50" s="113"/>
      <c r="DZ50" s="113"/>
      <c r="EA50" s="113"/>
      <c r="EB50" s="113"/>
      <c r="EC50" s="113"/>
      <c r="ED50" s="113"/>
      <c r="EE50" s="113"/>
      <c r="EF50" s="113"/>
      <c r="EG50" s="113"/>
      <c r="EH50" s="113"/>
    </row>
    <row r="51" spans="2:138" ht="22.5" customHeight="1">
      <c r="B51" s="796" t="str">
        <f>VLOOKUP("bemerkung",Translations!$A:$T,MATCH(DR19,Translations!A2:P2,0),0)</f>
        <v>Comments:</v>
      </c>
      <c r="C51" s="775"/>
      <c r="D51" s="775"/>
      <c r="E51" s="775"/>
      <c r="F51" s="821"/>
      <c r="G51" s="821"/>
      <c r="H51" s="821"/>
      <c r="I51" s="821"/>
      <c r="J51" s="821"/>
      <c r="K51" s="821"/>
      <c r="L51" s="821"/>
      <c r="M51" s="821"/>
      <c r="N51" s="821"/>
      <c r="O51" s="821"/>
      <c r="P51" s="821"/>
      <c r="Q51" s="821"/>
      <c r="R51" s="821"/>
      <c r="S51" s="821"/>
      <c r="T51" s="821"/>
      <c r="U51" s="821"/>
      <c r="V51" s="821"/>
      <c r="W51" s="821"/>
      <c r="X51" s="775" t="str">
        <f>VLOOKUP("datum",Translations!$A:$T,MATCH(DR19,Translations!A2:P2,0),0)</f>
        <v>Date:</v>
      </c>
      <c r="Y51" s="775"/>
      <c r="Z51" s="775"/>
      <c r="AA51" s="775"/>
      <c r="AB51" s="775"/>
      <c r="AC51" s="775"/>
      <c r="AD51" s="775"/>
      <c r="AE51" s="775"/>
      <c r="AF51" s="775"/>
      <c r="AG51" s="144"/>
      <c r="AH51" s="815"/>
      <c r="AI51" s="815"/>
      <c r="AJ51" s="815"/>
      <c r="AK51" s="815"/>
      <c r="AL51" s="815"/>
      <c r="AM51" s="815"/>
      <c r="AN51" s="815"/>
      <c r="AO51" s="815"/>
      <c r="AP51" s="815"/>
      <c r="AQ51" s="815"/>
      <c r="AR51" s="815"/>
      <c r="AS51" s="815"/>
      <c r="AT51" s="815"/>
      <c r="AU51" s="815"/>
      <c r="AV51" s="815"/>
      <c r="AW51" s="815"/>
      <c r="AX51" s="815"/>
      <c r="AY51" s="815"/>
      <c r="AZ51" s="815"/>
      <c r="BA51" s="815"/>
      <c r="BB51" s="815"/>
      <c r="BC51" s="775" t="str">
        <f>VLOOKUP("unterschrift",Translations!$A:$T,MATCH(DR19,Translations!A2:P2,0),0)</f>
        <v>Signature:</v>
      </c>
      <c r="BD51" s="775"/>
      <c r="BE51" s="775"/>
      <c r="BF51" s="775"/>
      <c r="BG51" s="775"/>
      <c r="BH51" s="775"/>
      <c r="BI51" s="775"/>
      <c r="BJ51" s="775"/>
      <c r="BK51" s="775"/>
      <c r="BL51" s="775"/>
      <c r="BM51" s="775"/>
      <c r="BN51" s="775"/>
      <c r="BO51" s="775"/>
      <c r="BP51" s="150"/>
      <c r="BQ51" s="817"/>
      <c r="BR51" s="817"/>
      <c r="BS51" s="817"/>
      <c r="BT51" s="817"/>
      <c r="BU51" s="817"/>
      <c r="BV51" s="817"/>
      <c r="BW51" s="817"/>
      <c r="BX51" s="817"/>
      <c r="BY51" s="817"/>
      <c r="BZ51" s="817"/>
      <c r="CA51" s="817"/>
      <c r="CB51" s="817"/>
      <c r="CC51" s="817"/>
      <c r="CD51" s="817"/>
      <c r="CE51" s="817"/>
      <c r="CF51" s="817"/>
      <c r="CG51" s="817"/>
      <c r="CH51" s="817"/>
      <c r="CI51" s="817"/>
      <c r="CJ51" s="817"/>
      <c r="CK51" s="817"/>
      <c r="CL51" s="817"/>
      <c r="CM51" s="817"/>
      <c r="CN51" s="817"/>
      <c r="CO51" s="817"/>
      <c r="CP51" s="817"/>
      <c r="CQ51" s="817"/>
      <c r="CR51" s="817"/>
      <c r="CS51" s="817"/>
      <c r="CT51" s="817"/>
      <c r="CU51" s="817"/>
      <c r="CV51" s="817"/>
      <c r="CW51" s="817"/>
      <c r="CX51" s="817"/>
      <c r="CY51" s="817"/>
      <c r="CZ51" s="817"/>
      <c r="DA51" s="817"/>
      <c r="DB51" s="817"/>
      <c r="DC51" s="817"/>
      <c r="DD51" s="817"/>
      <c r="DE51" s="817"/>
      <c r="DF51" s="817"/>
      <c r="DG51" s="817"/>
      <c r="DH51" s="817"/>
      <c r="DI51" s="817"/>
      <c r="DJ51" s="817"/>
      <c r="DK51" s="817"/>
      <c r="DL51" s="817"/>
      <c r="DM51" s="817"/>
      <c r="DN51" s="817"/>
      <c r="DO51" s="818"/>
      <c r="DP51" s="113"/>
      <c r="DY51" s="113"/>
      <c r="DZ51" s="113"/>
      <c r="EA51" s="113"/>
      <c r="EB51" s="113"/>
      <c r="EC51" s="113"/>
      <c r="ED51" s="113"/>
      <c r="EE51" s="113"/>
      <c r="EF51" s="113"/>
      <c r="EG51" s="113"/>
      <c r="EH51" s="113"/>
    </row>
    <row r="52" spans="2:138" ht="28.5" customHeight="1">
      <c r="B52" s="797"/>
      <c r="C52" s="776"/>
      <c r="D52" s="776"/>
      <c r="E52" s="776"/>
      <c r="F52" s="822"/>
      <c r="G52" s="822"/>
      <c r="H52" s="822"/>
      <c r="I52" s="822"/>
      <c r="J52" s="822"/>
      <c r="K52" s="822"/>
      <c r="L52" s="822"/>
      <c r="M52" s="822"/>
      <c r="N52" s="822"/>
      <c r="O52" s="822"/>
      <c r="P52" s="822"/>
      <c r="Q52" s="822"/>
      <c r="R52" s="822"/>
      <c r="S52" s="822"/>
      <c r="T52" s="822"/>
      <c r="U52" s="822"/>
      <c r="V52" s="822"/>
      <c r="W52" s="822"/>
      <c r="X52" s="776"/>
      <c r="Y52" s="776"/>
      <c r="Z52" s="776"/>
      <c r="AA52" s="776"/>
      <c r="AB52" s="776"/>
      <c r="AC52" s="776"/>
      <c r="AD52" s="776"/>
      <c r="AE52" s="776"/>
      <c r="AF52" s="776"/>
      <c r="AG52" s="145"/>
      <c r="AH52" s="816"/>
      <c r="AI52" s="816"/>
      <c r="AJ52" s="816"/>
      <c r="AK52" s="816"/>
      <c r="AL52" s="816"/>
      <c r="AM52" s="816"/>
      <c r="AN52" s="816"/>
      <c r="AO52" s="816"/>
      <c r="AP52" s="816"/>
      <c r="AQ52" s="816"/>
      <c r="AR52" s="816"/>
      <c r="AS52" s="816"/>
      <c r="AT52" s="816"/>
      <c r="AU52" s="816"/>
      <c r="AV52" s="816"/>
      <c r="AW52" s="816"/>
      <c r="AX52" s="816"/>
      <c r="AY52" s="816"/>
      <c r="AZ52" s="816"/>
      <c r="BA52" s="816"/>
      <c r="BB52" s="816"/>
      <c r="BC52" s="776"/>
      <c r="BD52" s="776"/>
      <c r="BE52" s="776"/>
      <c r="BF52" s="776"/>
      <c r="BG52" s="776"/>
      <c r="BH52" s="776"/>
      <c r="BI52" s="776"/>
      <c r="BJ52" s="776"/>
      <c r="BK52" s="776"/>
      <c r="BL52" s="776"/>
      <c r="BM52" s="776"/>
      <c r="BN52" s="776"/>
      <c r="BO52" s="776"/>
      <c r="BP52" s="151"/>
      <c r="BQ52" s="819"/>
      <c r="BR52" s="819"/>
      <c r="BS52" s="819"/>
      <c r="BT52" s="819"/>
      <c r="BU52" s="819"/>
      <c r="BV52" s="819"/>
      <c r="BW52" s="819"/>
      <c r="BX52" s="819"/>
      <c r="BY52" s="819"/>
      <c r="BZ52" s="819"/>
      <c r="CA52" s="819"/>
      <c r="CB52" s="819"/>
      <c r="CC52" s="819"/>
      <c r="CD52" s="819"/>
      <c r="CE52" s="819"/>
      <c r="CF52" s="819"/>
      <c r="CG52" s="819"/>
      <c r="CH52" s="819"/>
      <c r="CI52" s="819"/>
      <c r="CJ52" s="819"/>
      <c r="CK52" s="819"/>
      <c r="CL52" s="819"/>
      <c r="CM52" s="819"/>
      <c r="CN52" s="819"/>
      <c r="CO52" s="819"/>
      <c r="CP52" s="819"/>
      <c r="CQ52" s="819"/>
      <c r="CR52" s="819"/>
      <c r="CS52" s="819"/>
      <c r="CT52" s="819"/>
      <c r="CU52" s="819"/>
      <c r="CV52" s="819"/>
      <c r="CW52" s="819"/>
      <c r="CX52" s="819"/>
      <c r="CY52" s="819"/>
      <c r="CZ52" s="819"/>
      <c r="DA52" s="819"/>
      <c r="DB52" s="819"/>
      <c r="DC52" s="819"/>
      <c r="DD52" s="819"/>
      <c r="DE52" s="819"/>
      <c r="DF52" s="819"/>
      <c r="DG52" s="819"/>
      <c r="DH52" s="819"/>
      <c r="DI52" s="819"/>
      <c r="DJ52" s="819"/>
      <c r="DK52" s="819"/>
      <c r="DL52" s="819"/>
      <c r="DM52" s="819"/>
      <c r="DN52" s="819"/>
      <c r="DO52" s="820"/>
      <c r="DP52" s="113"/>
      <c r="DY52" s="113"/>
      <c r="DZ52" s="113"/>
      <c r="EA52" s="113"/>
      <c r="EB52" s="113"/>
      <c r="EC52" s="113"/>
      <c r="ED52" s="113"/>
      <c r="EE52" s="113"/>
      <c r="EF52" s="113"/>
      <c r="EG52" s="113"/>
      <c r="EH52" s="113"/>
    </row>
    <row r="53" spans="2:138" ht="42" customHeight="1" thickBot="1">
      <c r="B53" s="695" t="str">
        <f>VLOOKUP("eigentumserklarung",Translations!$A:$T,MATCH(DR19,Translations!A2:P2,0),0)</f>
        <v>In case M+H becomes legal owner/proprietor of the tooling(s)/fixture(s): With acceptance of this PPA report M+H shall become the legal owner/proprietor of the tooling(s), fixture(s) and corresponding CAD-Data which are mentioned in the Purchasing Order (PO), the supplier shall be the factual possessor.</v>
      </c>
      <c r="C53" s="696"/>
      <c r="D53" s="696"/>
      <c r="E53" s="696"/>
      <c r="F53" s="696"/>
      <c r="G53" s="696"/>
      <c r="H53" s="696"/>
      <c r="I53" s="696"/>
      <c r="J53" s="696"/>
      <c r="K53" s="696"/>
      <c r="L53" s="696"/>
      <c r="M53" s="696"/>
      <c r="N53" s="696"/>
      <c r="O53" s="696"/>
      <c r="P53" s="696"/>
      <c r="Q53" s="696"/>
      <c r="R53" s="696"/>
      <c r="S53" s="696"/>
      <c r="T53" s="696"/>
      <c r="U53" s="696"/>
      <c r="V53" s="696"/>
      <c r="W53" s="696"/>
      <c r="X53" s="696"/>
      <c r="Y53" s="696"/>
      <c r="Z53" s="696"/>
      <c r="AA53" s="696"/>
      <c r="AB53" s="696"/>
      <c r="AC53" s="696"/>
      <c r="AD53" s="696"/>
      <c r="AE53" s="696"/>
      <c r="AF53" s="696"/>
      <c r="AG53" s="696"/>
      <c r="AH53" s="696"/>
      <c r="AI53" s="696"/>
      <c r="AJ53" s="696"/>
      <c r="AK53" s="696"/>
      <c r="AL53" s="696"/>
      <c r="AM53" s="696"/>
      <c r="AN53" s="696"/>
      <c r="AO53" s="696"/>
      <c r="AP53" s="696"/>
      <c r="AQ53" s="696"/>
      <c r="AR53" s="696"/>
      <c r="AS53" s="696"/>
      <c r="AT53" s="696"/>
      <c r="AU53" s="696"/>
      <c r="AV53" s="696"/>
      <c r="AW53" s="696"/>
      <c r="AX53" s="696"/>
      <c r="AY53" s="696"/>
      <c r="AZ53" s="696"/>
      <c r="BA53" s="696"/>
      <c r="BB53" s="696"/>
      <c r="BC53" s="696"/>
      <c r="BD53" s="696"/>
      <c r="BE53" s="696"/>
      <c r="BF53" s="696"/>
      <c r="BG53" s="696"/>
      <c r="BH53" s="696"/>
      <c r="BI53" s="696"/>
      <c r="BJ53" s="696"/>
      <c r="BK53" s="696"/>
      <c r="BL53" s="696"/>
      <c r="BM53" s="696"/>
      <c r="BN53" s="696"/>
      <c r="BO53" s="696"/>
      <c r="BP53" s="696"/>
      <c r="BQ53" s="696"/>
      <c r="BR53" s="696"/>
      <c r="BS53" s="696"/>
      <c r="BT53" s="696"/>
      <c r="BU53" s="696"/>
      <c r="BV53" s="696"/>
      <c r="BW53" s="696"/>
      <c r="BX53" s="696"/>
      <c r="BY53" s="696"/>
      <c r="BZ53" s="696"/>
      <c r="CA53" s="696"/>
      <c r="CB53" s="696"/>
      <c r="CC53" s="696"/>
      <c r="CD53" s="696"/>
      <c r="CE53" s="696"/>
      <c r="CF53" s="696"/>
      <c r="CG53" s="696"/>
      <c r="CH53" s="696"/>
      <c r="CI53" s="696"/>
      <c r="CJ53" s="696"/>
      <c r="CK53" s="696"/>
      <c r="CL53" s="696"/>
      <c r="CM53" s="696"/>
      <c r="CN53" s="696"/>
      <c r="CO53" s="696"/>
      <c r="CP53" s="696"/>
      <c r="CQ53" s="696"/>
      <c r="CR53" s="696"/>
      <c r="CS53" s="696"/>
      <c r="CT53" s="696"/>
      <c r="CU53" s="696"/>
      <c r="CV53" s="696"/>
      <c r="CW53" s="696"/>
      <c r="CX53" s="696"/>
      <c r="CY53" s="696"/>
      <c r="CZ53" s="696"/>
      <c r="DA53" s="696"/>
      <c r="DB53" s="696"/>
      <c r="DC53" s="696"/>
      <c r="DD53" s="696"/>
      <c r="DE53" s="696"/>
      <c r="DF53" s="696"/>
      <c r="DG53" s="696"/>
      <c r="DH53" s="696"/>
      <c r="DI53" s="696"/>
      <c r="DJ53" s="696"/>
      <c r="DK53" s="696"/>
      <c r="DL53" s="696"/>
      <c r="DM53" s="696"/>
      <c r="DN53" s="696"/>
      <c r="DO53" s="697"/>
      <c r="DP53" s="113"/>
      <c r="DY53" s="113"/>
      <c r="DZ53" s="113"/>
      <c r="EA53" s="113"/>
      <c r="EB53" s="113"/>
      <c r="EC53" s="113"/>
      <c r="ED53" s="113"/>
      <c r="EE53" s="113"/>
      <c r="EF53" s="113"/>
      <c r="EG53" s="113"/>
      <c r="EH53" s="113"/>
    </row>
    <row r="54" spans="2:138" ht="12" customHeight="1">
      <c r="B54" s="711" t="str">
        <f>VLOOKUP("entscheidungkunde",Translations!$A:$T,MATCH(DR19,Translations!A2:P2,0),0)</f>
        <v>Customer´s decision:</v>
      </c>
      <c r="C54" s="712"/>
      <c r="D54" s="712"/>
      <c r="E54" s="712"/>
      <c r="F54" s="712"/>
      <c r="G54" s="712"/>
      <c r="H54" s="712"/>
      <c r="I54" s="712"/>
      <c r="J54" s="712"/>
      <c r="K54" s="712"/>
      <c r="L54" s="712"/>
      <c r="M54" s="713"/>
      <c r="N54" s="802" t="str">
        <f>VLOOKUP("freigaben",Translations!$A:$T,MATCH(DR19,Translations!A2:P2,0),0)</f>
        <v>Approvals</v>
      </c>
      <c r="O54" s="803"/>
      <c r="P54" s="803"/>
      <c r="Q54" s="803"/>
      <c r="R54" s="803"/>
      <c r="S54" s="803"/>
      <c r="T54" s="803"/>
      <c r="U54" s="803"/>
      <c r="V54" s="803"/>
      <c r="W54" s="803"/>
      <c r="X54" s="803"/>
      <c r="Y54" s="803"/>
      <c r="Z54" s="803"/>
      <c r="AA54" s="803"/>
      <c r="AB54" s="803"/>
      <c r="AC54" s="803"/>
      <c r="AD54" s="803"/>
      <c r="AE54" s="803"/>
      <c r="AF54" s="803"/>
      <c r="AG54" s="803"/>
      <c r="AH54" s="803"/>
      <c r="AI54" s="803"/>
      <c r="AJ54" s="803"/>
      <c r="AK54" s="803"/>
      <c r="AL54" s="803"/>
      <c r="AM54" s="803"/>
      <c r="AN54" s="803"/>
      <c r="AO54" s="803"/>
      <c r="AP54" s="803"/>
      <c r="AQ54" s="803"/>
      <c r="AR54" s="803"/>
      <c r="AS54" s="803"/>
      <c r="AT54" s="803"/>
      <c r="AU54" s="803"/>
      <c r="AV54" s="803"/>
      <c r="AW54" s="803"/>
      <c r="AX54" s="803"/>
      <c r="AY54" s="803"/>
      <c r="AZ54" s="803"/>
      <c r="BA54" s="803"/>
      <c r="BB54" s="803"/>
      <c r="BC54" s="803"/>
      <c r="BD54" s="803"/>
      <c r="BE54" s="803"/>
      <c r="BF54" s="803"/>
      <c r="BG54" s="803"/>
      <c r="BH54" s="803"/>
      <c r="BI54" s="803"/>
      <c r="BJ54" s="803"/>
      <c r="BK54" s="803"/>
      <c r="BL54" s="803"/>
      <c r="BM54" s="803"/>
      <c r="BN54" s="803"/>
      <c r="BO54" s="803"/>
      <c r="BP54" s="803"/>
      <c r="BQ54" s="803"/>
      <c r="BR54" s="803"/>
      <c r="BS54" s="803"/>
      <c r="BT54" s="803"/>
      <c r="BU54" s="803"/>
      <c r="BV54" s="803"/>
      <c r="BW54" s="803"/>
      <c r="BX54" s="803"/>
      <c r="BY54" s="803"/>
      <c r="BZ54" s="803"/>
      <c r="CA54" s="803"/>
      <c r="CB54" s="803"/>
      <c r="CC54" s="803"/>
      <c r="CD54" s="803"/>
      <c r="CE54" s="803"/>
      <c r="CF54" s="803"/>
      <c r="CG54" s="803"/>
      <c r="CH54" s="803"/>
      <c r="CI54" s="803"/>
      <c r="CJ54" s="803"/>
      <c r="CK54" s="803"/>
      <c r="CL54" s="803"/>
      <c r="CM54" s="803"/>
      <c r="CN54" s="803"/>
      <c r="CO54" s="803"/>
      <c r="CP54" s="803"/>
      <c r="CQ54" s="803"/>
      <c r="CR54" s="803"/>
      <c r="CS54" s="803"/>
      <c r="CT54" s="803"/>
      <c r="CU54" s="803"/>
      <c r="CV54" s="803"/>
      <c r="CW54" s="803"/>
      <c r="CX54" s="803"/>
      <c r="CY54" s="803"/>
      <c r="CZ54" s="803"/>
      <c r="DA54" s="803"/>
      <c r="DB54" s="803"/>
      <c r="DC54" s="803"/>
      <c r="DD54" s="803"/>
      <c r="DE54" s="803"/>
      <c r="DF54" s="803"/>
      <c r="DG54" s="803"/>
      <c r="DH54" s="803"/>
      <c r="DI54" s="803"/>
      <c r="DJ54" s="803"/>
      <c r="DK54" s="803"/>
      <c r="DL54" s="803"/>
      <c r="DM54" s="803"/>
      <c r="DN54" s="803"/>
      <c r="DO54" s="804"/>
      <c r="DP54" s="113"/>
      <c r="DY54" s="113"/>
      <c r="DZ54" s="113"/>
      <c r="EA54" s="113"/>
      <c r="EB54" s="113"/>
      <c r="EC54" s="113"/>
      <c r="ED54" s="113"/>
      <c r="EE54" s="113"/>
      <c r="EF54" s="113"/>
      <c r="EG54" s="113"/>
      <c r="EH54" s="113"/>
    </row>
    <row r="55" spans="2:138" ht="12" customHeight="1">
      <c r="B55" s="714"/>
      <c r="C55" s="715"/>
      <c r="D55" s="715"/>
      <c r="E55" s="715"/>
      <c r="F55" s="715"/>
      <c r="G55" s="715"/>
      <c r="H55" s="715"/>
      <c r="I55" s="715"/>
      <c r="J55" s="715"/>
      <c r="K55" s="715"/>
      <c r="L55" s="715"/>
      <c r="M55" s="716"/>
      <c r="N55" s="812" t="str">
        <f>VLOOKUP("produkt prozess",Translations!$A:$T,MATCH(DR19,Translations!A2:P2,0),0)</f>
        <v>Product / Process</v>
      </c>
      <c r="O55" s="813"/>
      <c r="P55" s="813"/>
      <c r="Q55" s="813"/>
      <c r="R55" s="813"/>
      <c r="S55" s="813"/>
      <c r="T55" s="813"/>
      <c r="U55" s="813"/>
      <c r="V55" s="813"/>
      <c r="W55" s="813"/>
      <c r="X55" s="813"/>
      <c r="Y55" s="813"/>
      <c r="Z55" s="813"/>
      <c r="AA55" s="813"/>
      <c r="AB55" s="813"/>
      <c r="AC55" s="813"/>
      <c r="AD55" s="813"/>
      <c r="AE55" s="813"/>
      <c r="AF55" s="813"/>
      <c r="AG55" s="813"/>
      <c r="AH55" s="813"/>
      <c r="AI55" s="813"/>
      <c r="AJ55" s="813"/>
      <c r="AK55" s="813"/>
      <c r="AL55" s="813"/>
      <c r="AM55" s="813"/>
      <c r="AN55" s="813"/>
      <c r="AO55" s="813"/>
      <c r="AP55" s="813"/>
      <c r="AQ55" s="813"/>
      <c r="AR55" s="813"/>
      <c r="AS55" s="813"/>
      <c r="AT55" s="813"/>
      <c r="AU55" s="813"/>
      <c r="AV55" s="813"/>
      <c r="AW55" s="813"/>
      <c r="AX55" s="813"/>
      <c r="AY55" s="813"/>
      <c r="AZ55" s="813"/>
      <c r="BA55" s="813"/>
      <c r="BB55" s="813"/>
      <c r="BC55" s="813"/>
      <c r="BD55" s="813"/>
      <c r="BE55" s="813"/>
      <c r="BF55" s="813"/>
      <c r="BG55" s="813"/>
      <c r="BH55" s="813"/>
      <c r="BI55" s="813"/>
      <c r="BJ55" s="813"/>
      <c r="BK55" s="813"/>
      <c r="BL55" s="813"/>
      <c r="BM55" s="813"/>
      <c r="BN55" s="813"/>
      <c r="BO55" s="813"/>
      <c r="BP55" s="813"/>
      <c r="BQ55" s="813"/>
      <c r="BR55" s="813"/>
      <c r="BS55" s="813"/>
      <c r="BT55" s="813"/>
      <c r="BU55" s="813"/>
      <c r="BV55" s="813"/>
      <c r="BW55" s="813"/>
      <c r="BX55" s="813"/>
      <c r="BY55" s="813"/>
      <c r="BZ55" s="813"/>
      <c r="CA55" s="813"/>
      <c r="CB55" s="813"/>
      <c r="CC55" s="813"/>
      <c r="CD55" s="813"/>
      <c r="CE55" s="813"/>
      <c r="CF55" s="813"/>
      <c r="CG55" s="813"/>
      <c r="CH55" s="813"/>
      <c r="CI55" s="813"/>
      <c r="CJ55" s="813"/>
      <c r="CK55" s="813"/>
      <c r="CL55" s="813"/>
      <c r="CM55" s="813"/>
      <c r="CN55" s="813"/>
      <c r="CO55" s="813"/>
      <c r="CP55" s="813"/>
      <c r="CQ55" s="813"/>
      <c r="CR55" s="813"/>
      <c r="CS55" s="813"/>
      <c r="CT55" s="813"/>
      <c r="CU55" s="813"/>
      <c r="CV55" s="813"/>
      <c r="CW55" s="813"/>
      <c r="CX55" s="813"/>
      <c r="CY55" s="813"/>
      <c r="CZ55" s="813"/>
      <c r="DA55" s="813"/>
      <c r="DB55" s="813"/>
      <c r="DC55" s="813"/>
      <c r="DD55" s="813"/>
      <c r="DE55" s="813"/>
      <c r="DF55" s="813"/>
      <c r="DG55" s="813"/>
      <c r="DH55" s="813"/>
      <c r="DI55" s="813"/>
      <c r="DJ55" s="813"/>
      <c r="DK55" s="813"/>
      <c r="DL55" s="813"/>
      <c r="DM55" s="813"/>
      <c r="DN55" s="813"/>
      <c r="DO55" s="814"/>
      <c r="DP55" s="113"/>
      <c r="DQ55" s="33"/>
      <c r="DR55" s="33"/>
      <c r="DY55" s="113"/>
      <c r="DZ55" s="113"/>
      <c r="EA55" s="113"/>
      <c r="EB55" s="113"/>
      <c r="EC55" s="113"/>
      <c r="ED55" s="113"/>
      <c r="EE55" s="113"/>
      <c r="EF55" s="113"/>
      <c r="EG55" s="113"/>
      <c r="EH55" s="113"/>
    </row>
    <row r="56" spans="2:138" ht="12.75" customHeight="1">
      <c r="B56" s="714"/>
      <c r="C56" s="715"/>
      <c r="D56" s="715"/>
      <c r="E56" s="715"/>
      <c r="F56" s="715"/>
      <c r="G56" s="715"/>
      <c r="H56" s="715"/>
      <c r="I56" s="715"/>
      <c r="J56" s="715"/>
      <c r="K56" s="715"/>
      <c r="L56" s="715"/>
      <c r="M56" s="716"/>
      <c r="N56" s="758" t="str">
        <f>VLOOKUP("gesamt",Translations!$A:$T,MATCH(DR19,Translations!A2:P2,0),0)</f>
        <v>Overall</v>
      </c>
      <c r="O56" s="759"/>
      <c r="P56" s="760"/>
      <c r="Q56" s="758" t="str">
        <f>VLOOKUP("gesamt prozess",Translations!$A:$T,MATCH(DR19,Translations!A2:P2,0),0)</f>
        <v>Overall Process</v>
      </c>
      <c r="R56" s="759"/>
      <c r="S56" s="760"/>
      <c r="T56" s="758" t="str">
        <f>VLOOKUP("gesamt produkt",Translations!$A:$T,MATCH(DR19,Translations!A2:P2,0),0)</f>
        <v>Overall Product</v>
      </c>
      <c r="U56" s="759"/>
      <c r="V56" s="759"/>
      <c r="W56" s="760"/>
      <c r="X56" s="178"/>
      <c r="Y56" s="721" t="s">
        <v>454</v>
      </c>
      <c r="Z56" s="214"/>
      <c r="AA56" s="720" t="s">
        <v>455</v>
      </c>
      <c r="AB56" s="721"/>
      <c r="AC56" s="722"/>
      <c r="AD56" s="720" t="s">
        <v>456</v>
      </c>
      <c r="AE56" s="721"/>
      <c r="AF56" s="722"/>
      <c r="AG56" s="720" t="s">
        <v>457</v>
      </c>
      <c r="AH56" s="721"/>
      <c r="AI56" s="722"/>
      <c r="AJ56" s="720" t="s">
        <v>458</v>
      </c>
      <c r="AK56" s="721"/>
      <c r="AL56" s="722"/>
      <c r="AM56" s="720" t="s">
        <v>459</v>
      </c>
      <c r="AN56" s="721"/>
      <c r="AO56" s="722"/>
      <c r="AP56" s="720" t="s">
        <v>460</v>
      </c>
      <c r="AQ56" s="721"/>
      <c r="AR56" s="722"/>
      <c r="AS56" s="720" t="s">
        <v>461</v>
      </c>
      <c r="AT56" s="721"/>
      <c r="AU56" s="722"/>
      <c r="AV56" s="720" t="s">
        <v>462</v>
      </c>
      <c r="AW56" s="721"/>
      <c r="AX56" s="722"/>
      <c r="AY56" s="720" t="s">
        <v>463</v>
      </c>
      <c r="AZ56" s="721"/>
      <c r="BA56" s="722"/>
      <c r="BB56" s="726">
        <v>2</v>
      </c>
      <c r="BC56" s="727"/>
      <c r="BD56" s="728"/>
      <c r="BE56" s="726">
        <v>3</v>
      </c>
      <c r="BF56" s="727"/>
      <c r="BG56" s="728"/>
      <c r="BH56" s="726">
        <v>4</v>
      </c>
      <c r="BI56" s="727"/>
      <c r="BJ56" s="728"/>
      <c r="BK56" s="726">
        <v>5</v>
      </c>
      <c r="BL56" s="727"/>
      <c r="BM56" s="728"/>
      <c r="BN56" s="726">
        <v>6</v>
      </c>
      <c r="BO56" s="727"/>
      <c r="BP56" s="728"/>
      <c r="BQ56" s="726">
        <v>7</v>
      </c>
      <c r="BR56" s="727"/>
      <c r="BS56" s="728"/>
      <c r="BT56" s="726">
        <v>8</v>
      </c>
      <c r="BU56" s="727"/>
      <c r="BV56" s="728"/>
      <c r="BW56" s="726">
        <v>9</v>
      </c>
      <c r="BX56" s="727"/>
      <c r="BY56" s="728"/>
      <c r="BZ56" s="726">
        <v>10</v>
      </c>
      <c r="CA56" s="727"/>
      <c r="CB56" s="728"/>
      <c r="CC56" s="726">
        <v>11</v>
      </c>
      <c r="CD56" s="727"/>
      <c r="CE56" s="728"/>
      <c r="CF56" s="726">
        <v>12</v>
      </c>
      <c r="CG56" s="727"/>
      <c r="CH56" s="728"/>
      <c r="CI56" s="726">
        <v>13</v>
      </c>
      <c r="CJ56" s="727"/>
      <c r="CK56" s="728"/>
      <c r="CL56" s="726">
        <v>14</v>
      </c>
      <c r="CM56" s="727"/>
      <c r="CN56" s="728"/>
      <c r="CO56" s="726">
        <v>15</v>
      </c>
      <c r="CP56" s="727"/>
      <c r="CQ56" s="728"/>
      <c r="CR56" s="726">
        <v>16</v>
      </c>
      <c r="CS56" s="727"/>
      <c r="CT56" s="728"/>
      <c r="CU56" s="726">
        <v>17</v>
      </c>
      <c r="CV56" s="727"/>
      <c r="CW56" s="728"/>
      <c r="CX56" s="726">
        <v>18</v>
      </c>
      <c r="CY56" s="727"/>
      <c r="CZ56" s="728"/>
      <c r="DA56" s="726">
        <v>19</v>
      </c>
      <c r="DB56" s="727"/>
      <c r="DC56" s="728"/>
      <c r="DD56" s="726">
        <v>20</v>
      </c>
      <c r="DE56" s="727"/>
      <c r="DF56" s="728"/>
      <c r="DG56" s="726">
        <v>21</v>
      </c>
      <c r="DH56" s="727"/>
      <c r="DI56" s="728"/>
      <c r="DJ56" s="726">
        <v>22</v>
      </c>
      <c r="DK56" s="727"/>
      <c r="DL56" s="728"/>
      <c r="DM56" s="726">
        <v>23</v>
      </c>
      <c r="DN56" s="727"/>
      <c r="DO56" s="764"/>
      <c r="DP56" s="113"/>
      <c r="DY56" s="113"/>
      <c r="DZ56" s="113"/>
      <c r="EA56" s="113"/>
      <c r="EB56" s="113"/>
      <c r="EC56" s="113"/>
      <c r="ED56" s="113"/>
      <c r="EE56" s="113"/>
      <c r="EF56" s="113"/>
      <c r="EG56" s="113"/>
      <c r="EH56" s="113"/>
    </row>
    <row r="57" spans="2:138" ht="12.75" customHeight="1">
      <c r="B57" s="717"/>
      <c r="C57" s="718"/>
      <c r="D57" s="718"/>
      <c r="E57" s="718"/>
      <c r="F57" s="718"/>
      <c r="G57" s="718"/>
      <c r="H57" s="718"/>
      <c r="I57" s="718"/>
      <c r="J57" s="718"/>
      <c r="K57" s="718"/>
      <c r="L57" s="718"/>
      <c r="M57" s="719"/>
      <c r="N57" s="761"/>
      <c r="O57" s="762"/>
      <c r="P57" s="763"/>
      <c r="Q57" s="761"/>
      <c r="R57" s="762"/>
      <c r="S57" s="763"/>
      <c r="T57" s="761"/>
      <c r="U57" s="762"/>
      <c r="V57" s="762"/>
      <c r="W57" s="763"/>
      <c r="X57" s="211"/>
      <c r="Y57" s="811"/>
      <c r="Z57" s="215"/>
      <c r="AA57" s="723"/>
      <c r="AB57" s="724"/>
      <c r="AC57" s="725"/>
      <c r="AD57" s="723"/>
      <c r="AE57" s="724"/>
      <c r="AF57" s="725"/>
      <c r="AG57" s="723"/>
      <c r="AH57" s="724"/>
      <c r="AI57" s="725"/>
      <c r="AJ57" s="723"/>
      <c r="AK57" s="724"/>
      <c r="AL57" s="725"/>
      <c r="AM57" s="723"/>
      <c r="AN57" s="724"/>
      <c r="AO57" s="725"/>
      <c r="AP57" s="723"/>
      <c r="AQ57" s="724"/>
      <c r="AR57" s="725"/>
      <c r="AS57" s="723"/>
      <c r="AT57" s="724"/>
      <c r="AU57" s="725"/>
      <c r="AV57" s="723"/>
      <c r="AW57" s="724"/>
      <c r="AX57" s="725"/>
      <c r="AY57" s="723"/>
      <c r="AZ57" s="724"/>
      <c r="BA57" s="725"/>
      <c r="BB57" s="729"/>
      <c r="BC57" s="730"/>
      <c r="BD57" s="731"/>
      <c r="BE57" s="729"/>
      <c r="BF57" s="730"/>
      <c r="BG57" s="731"/>
      <c r="BH57" s="729"/>
      <c r="BI57" s="730"/>
      <c r="BJ57" s="731"/>
      <c r="BK57" s="729"/>
      <c r="BL57" s="730"/>
      <c r="BM57" s="731"/>
      <c r="BN57" s="729"/>
      <c r="BO57" s="730"/>
      <c r="BP57" s="731"/>
      <c r="BQ57" s="729"/>
      <c r="BR57" s="730"/>
      <c r="BS57" s="731"/>
      <c r="BT57" s="729"/>
      <c r="BU57" s="730"/>
      <c r="BV57" s="731"/>
      <c r="BW57" s="729"/>
      <c r="BX57" s="730"/>
      <c r="BY57" s="731"/>
      <c r="BZ57" s="729"/>
      <c r="CA57" s="730"/>
      <c r="CB57" s="731"/>
      <c r="CC57" s="729"/>
      <c r="CD57" s="730"/>
      <c r="CE57" s="731"/>
      <c r="CF57" s="729"/>
      <c r="CG57" s="730"/>
      <c r="CH57" s="731"/>
      <c r="CI57" s="729"/>
      <c r="CJ57" s="730"/>
      <c r="CK57" s="731"/>
      <c r="CL57" s="729"/>
      <c r="CM57" s="730"/>
      <c r="CN57" s="731"/>
      <c r="CO57" s="729"/>
      <c r="CP57" s="730"/>
      <c r="CQ57" s="731"/>
      <c r="CR57" s="729"/>
      <c r="CS57" s="730"/>
      <c r="CT57" s="731"/>
      <c r="CU57" s="729"/>
      <c r="CV57" s="730"/>
      <c r="CW57" s="731"/>
      <c r="CX57" s="729"/>
      <c r="CY57" s="730"/>
      <c r="CZ57" s="731"/>
      <c r="DA57" s="729"/>
      <c r="DB57" s="730"/>
      <c r="DC57" s="731"/>
      <c r="DD57" s="729"/>
      <c r="DE57" s="730"/>
      <c r="DF57" s="731"/>
      <c r="DG57" s="729"/>
      <c r="DH57" s="730"/>
      <c r="DI57" s="731"/>
      <c r="DJ57" s="729"/>
      <c r="DK57" s="730"/>
      <c r="DL57" s="731"/>
      <c r="DM57" s="729"/>
      <c r="DN57" s="730"/>
      <c r="DO57" s="765"/>
      <c r="DP57" s="113"/>
      <c r="DY57" s="113"/>
      <c r="DZ57" s="113"/>
      <c r="EA57" s="113"/>
      <c r="EB57" s="113"/>
      <c r="EC57" s="113"/>
      <c r="ED57" s="113"/>
      <c r="EE57" s="113"/>
      <c r="EF57" s="113"/>
      <c r="EG57" s="113"/>
      <c r="EH57" s="113"/>
    </row>
    <row r="58" spans="2:138" ht="2.25" customHeight="1">
      <c r="B58" s="702" t="str">
        <f>VLOOKUP("io",Translations!$A:$T,MATCH(DR19,Translations!A2:P2,0),0)</f>
        <v>OK</v>
      </c>
      <c r="C58" s="703"/>
      <c r="D58" s="703"/>
      <c r="E58" s="703"/>
      <c r="F58" s="703"/>
      <c r="G58" s="703"/>
      <c r="H58" s="703"/>
      <c r="I58" s="703"/>
      <c r="J58" s="703"/>
      <c r="K58" s="703"/>
      <c r="L58" s="703"/>
      <c r="M58" s="704"/>
      <c r="N58" s="181"/>
      <c r="O58" s="182"/>
      <c r="P58" s="183"/>
      <c r="Q58" s="181"/>
      <c r="R58" s="182"/>
      <c r="S58" s="171"/>
      <c r="T58" s="187"/>
      <c r="U58" s="203"/>
      <c r="V58" s="203"/>
      <c r="W58" s="204"/>
      <c r="X58" s="207"/>
      <c r="Y58" s="203"/>
      <c r="Z58" s="204"/>
      <c r="AA58" s="216"/>
      <c r="AB58" s="216"/>
      <c r="AC58" s="208"/>
      <c r="AD58" s="218"/>
      <c r="AE58" s="216"/>
      <c r="AF58" s="208"/>
      <c r="AG58" s="218"/>
      <c r="AH58" s="216"/>
      <c r="AI58" s="208"/>
      <c r="AJ58" s="218"/>
      <c r="AK58" s="216"/>
      <c r="AL58" s="208"/>
      <c r="AM58" s="218"/>
      <c r="AN58" s="216"/>
      <c r="AO58" s="208"/>
      <c r="AP58" s="218"/>
      <c r="AQ58" s="216"/>
      <c r="AR58" s="208"/>
      <c r="AS58" s="218"/>
      <c r="AT58" s="216"/>
      <c r="AU58" s="208"/>
      <c r="AV58" s="218"/>
      <c r="AW58" s="216"/>
      <c r="AX58" s="208"/>
      <c r="AY58" s="218"/>
      <c r="AZ58" s="216"/>
      <c r="BA58" s="208"/>
      <c r="BB58" s="218"/>
      <c r="BC58" s="222"/>
      <c r="BD58" s="223"/>
      <c r="BE58" s="224"/>
      <c r="BF58" s="222"/>
      <c r="BG58" s="223"/>
      <c r="BH58" s="224"/>
      <c r="BI58" s="222"/>
      <c r="BJ58" s="223"/>
      <c r="BK58" s="224"/>
      <c r="BL58" s="222"/>
      <c r="BM58" s="223"/>
      <c r="BN58" s="224"/>
      <c r="BO58" s="222"/>
      <c r="BP58" s="223"/>
      <c r="BQ58" s="224"/>
      <c r="BR58" s="222"/>
      <c r="BS58" s="223"/>
      <c r="BT58" s="224"/>
      <c r="BU58" s="222"/>
      <c r="BV58" s="223"/>
      <c r="BW58" s="224"/>
      <c r="BX58" s="222"/>
      <c r="BY58" s="223"/>
      <c r="BZ58" s="224"/>
      <c r="CA58" s="222"/>
      <c r="CB58" s="223"/>
      <c r="CC58" s="224"/>
      <c r="CD58" s="222"/>
      <c r="CE58" s="223"/>
      <c r="CF58" s="224"/>
      <c r="CG58" s="222"/>
      <c r="CH58" s="223"/>
      <c r="CI58" s="224"/>
      <c r="CJ58" s="222"/>
      <c r="CK58" s="223"/>
      <c r="CL58" s="224"/>
      <c r="CM58" s="222"/>
      <c r="CN58" s="223"/>
      <c r="CO58" s="224"/>
      <c r="CP58" s="222"/>
      <c r="CQ58" s="223"/>
      <c r="CR58" s="224"/>
      <c r="CS58" s="222"/>
      <c r="CT58" s="223"/>
      <c r="CU58" s="224"/>
      <c r="CV58" s="222"/>
      <c r="CW58" s="223"/>
      <c r="CX58" s="224"/>
      <c r="CY58" s="222"/>
      <c r="CZ58" s="223"/>
      <c r="DA58" s="224"/>
      <c r="DB58" s="222"/>
      <c r="DC58" s="223"/>
      <c r="DD58" s="224"/>
      <c r="DE58" s="222"/>
      <c r="DF58" s="223"/>
      <c r="DG58" s="224"/>
      <c r="DH58" s="222"/>
      <c r="DI58" s="223"/>
      <c r="DJ58" s="224"/>
      <c r="DK58" s="222"/>
      <c r="DL58" s="223"/>
      <c r="DM58" s="224"/>
      <c r="DN58" s="222"/>
      <c r="DO58" s="225"/>
      <c r="DP58" s="113"/>
      <c r="DY58" s="113"/>
      <c r="DZ58" s="113"/>
      <c r="EA58" s="113"/>
      <c r="EB58" s="113"/>
      <c r="EC58" s="113"/>
      <c r="ED58" s="113"/>
      <c r="EE58" s="113"/>
      <c r="EF58" s="113"/>
      <c r="EG58" s="113"/>
      <c r="EH58" s="113"/>
    </row>
    <row r="59" spans="2:138" ht="12" customHeight="1">
      <c r="B59" s="705"/>
      <c r="C59" s="706"/>
      <c r="D59" s="706"/>
      <c r="E59" s="706"/>
      <c r="F59" s="706"/>
      <c r="G59" s="706"/>
      <c r="H59" s="706"/>
      <c r="I59" s="706"/>
      <c r="J59" s="706"/>
      <c r="K59" s="706"/>
      <c r="L59" s="706"/>
      <c r="M59" s="707"/>
      <c r="N59" s="184"/>
      <c r="O59" s="423"/>
      <c r="P59" s="481"/>
      <c r="Q59" s="482"/>
      <c r="R59" s="423"/>
      <c r="S59" s="481"/>
      <c r="T59" s="482"/>
      <c r="U59" s="423"/>
      <c r="V59" s="167"/>
      <c r="W59" s="198"/>
      <c r="X59" s="209"/>
      <c r="Y59" s="423"/>
      <c r="Z59" s="479"/>
      <c r="AA59" s="480"/>
      <c r="AB59" s="423"/>
      <c r="AC59" s="481"/>
      <c r="AD59" s="482"/>
      <c r="AE59" s="423"/>
      <c r="AF59" s="483"/>
      <c r="AG59" s="484"/>
      <c r="AH59" s="423"/>
      <c r="AI59" s="481"/>
      <c r="AJ59" s="482"/>
      <c r="AK59" s="423"/>
      <c r="AL59" s="481"/>
      <c r="AM59" s="482"/>
      <c r="AN59" s="423"/>
      <c r="AO59" s="481"/>
      <c r="AP59" s="482"/>
      <c r="AQ59" s="423"/>
      <c r="AR59" s="481"/>
      <c r="AS59" s="482"/>
      <c r="AT59" s="423"/>
      <c r="AU59" s="481"/>
      <c r="AV59" s="482"/>
      <c r="AW59" s="423"/>
      <c r="AX59" s="481"/>
      <c r="AY59" s="482"/>
      <c r="AZ59" s="423"/>
      <c r="BA59" s="481"/>
      <c r="BB59" s="482"/>
      <c r="BC59" s="423"/>
      <c r="BD59" s="481"/>
      <c r="BE59" s="482"/>
      <c r="BF59" s="423"/>
      <c r="BG59" s="481"/>
      <c r="BH59" s="482"/>
      <c r="BI59" s="423"/>
      <c r="BJ59" s="481"/>
      <c r="BK59" s="482"/>
      <c r="BL59" s="423"/>
      <c r="BM59" s="481"/>
      <c r="BN59" s="482"/>
      <c r="BO59" s="423"/>
      <c r="BP59" s="481"/>
      <c r="BQ59" s="482"/>
      <c r="BR59" s="423"/>
      <c r="BS59" s="481"/>
      <c r="BT59" s="482"/>
      <c r="BU59" s="423"/>
      <c r="BV59" s="481"/>
      <c r="BW59" s="482"/>
      <c r="BX59" s="423"/>
      <c r="BY59" s="481"/>
      <c r="BZ59" s="482"/>
      <c r="CA59" s="423"/>
      <c r="CB59" s="481"/>
      <c r="CC59" s="482"/>
      <c r="CD59" s="423"/>
      <c r="CE59" s="481"/>
      <c r="CF59" s="482"/>
      <c r="CG59" s="423"/>
      <c r="CH59" s="481"/>
      <c r="CI59" s="482"/>
      <c r="CJ59" s="423"/>
      <c r="CK59" s="481"/>
      <c r="CL59" s="482"/>
      <c r="CM59" s="423"/>
      <c r="CN59" s="481"/>
      <c r="CO59" s="482"/>
      <c r="CP59" s="423"/>
      <c r="CQ59" s="481"/>
      <c r="CR59" s="482"/>
      <c r="CS59" s="423"/>
      <c r="CT59" s="481"/>
      <c r="CU59" s="482"/>
      <c r="CV59" s="423"/>
      <c r="CW59" s="481"/>
      <c r="CX59" s="482"/>
      <c r="CY59" s="423"/>
      <c r="CZ59" s="483"/>
      <c r="DA59" s="482"/>
      <c r="DB59" s="423"/>
      <c r="DC59" s="481"/>
      <c r="DD59" s="482"/>
      <c r="DE59" s="423"/>
      <c r="DF59" s="481"/>
      <c r="DG59" s="482"/>
      <c r="DH59" s="423"/>
      <c r="DI59" s="481"/>
      <c r="DJ59" s="482"/>
      <c r="DK59" s="423"/>
      <c r="DL59" s="481"/>
      <c r="DM59" s="482"/>
      <c r="DN59" s="423"/>
      <c r="DO59" s="188"/>
      <c r="DP59" s="113"/>
      <c r="DY59" s="113"/>
      <c r="DZ59" s="113"/>
      <c r="EA59" s="113"/>
      <c r="EB59" s="113"/>
      <c r="EC59" s="113"/>
      <c r="ED59" s="113"/>
      <c r="EE59" s="113"/>
      <c r="EF59" s="113"/>
      <c r="EG59" s="113"/>
      <c r="EH59" s="113"/>
    </row>
    <row r="60" spans="2:138" ht="2.25" customHeight="1">
      <c r="B60" s="708"/>
      <c r="C60" s="709"/>
      <c r="D60" s="709"/>
      <c r="E60" s="709"/>
      <c r="F60" s="709"/>
      <c r="G60" s="709"/>
      <c r="H60" s="709"/>
      <c r="I60" s="709"/>
      <c r="J60" s="709"/>
      <c r="K60" s="709"/>
      <c r="L60" s="709"/>
      <c r="M60" s="710"/>
      <c r="N60" s="185"/>
      <c r="O60" s="486"/>
      <c r="P60" s="487"/>
      <c r="Q60" s="488"/>
      <c r="R60" s="489"/>
      <c r="S60" s="487"/>
      <c r="T60" s="488"/>
      <c r="U60" s="490"/>
      <c r="V60" s="199"/>
      <c r="W60" s="200"/>
      <c r="X60" s="210"/>
      <c r="Y60" s="199"/>
      <c r="Z60" s="200"/>
      <c r="AA60" s="32"/>
      <c r="AB60" s="32"/>
      <c r="AC60" s="179"/>
      <c r="AD60" s="194"/>
      <c r="AE60" s="195"/>
      <c r="AF60" s="180"/>
      <c r="AG60" s="194"/>
      <c r="AH60" s="195"/>
      <c r="AI60" s="180"/>
      <c r="AJ60" s="194"/>
      <c r="AK60" s="195"/>
      <c r="AL60" s="180"/>
      <c r="AM60" s="194"/>
      <c r="AN60" s="195"/>
      <c r="AO60" s="180"/>
      <c r="AP60" s="194"/>
      <c r="AQ60" s="195"/>
      <c r="AR60" s="180"/>
      <c r="AS60" s="194"/>
      <c r="AT60" s="195"/>
      <c r="AU60" s="180"/>
      <c r="AV60" s="194"/>
      <c r="AW60" s="195"/>
      <c r="AX60" s="180"/>
      <c r="AY60" s="194"/>
      <c r="AZ60" s="195"/>
      <c r="BA60" s="180"/>
      <c r="BB60" s="194"/>
      <c r="BC60" s="195"/>
      <c r="BD60" s="180"/>
      <c r="BE60" s="194"/>
      <c r="BF60" s="195"/>
      <c r="BG60" s="180"/>
      <c r="BH60" s="194"/>
      <c r="BI60" s="195"/>
      <c r="BJ60" s="180"/>
      <c r="BK60" s="194"/>
      <c r="BL60" s="195"/>
      <c r="BM60" s="180"/>
      <c r="BN60" s="194"/>
      <c r="BO60" s="195"/>
      <c r="BP60" s="180"/>
      <c r="BQ60" s="194"/>
      <c r="BR60" s="195"/>
      <c r="BS60" s="180"/>
      <c r="BT60" s="194"/>
      <c r="BU60" s="195"/>
      <c r="BV60" s="180"/>
      <c r="BW60" s="194"/>
      <c r="BX60" s="195"/>
      <c r="BY60" s="180"/>
      <c r="BZ60" s="194"/>
      <c r="CA60" s="195"/>
      <c r="CB60" s="180"/>
      <c r="CC60" s="194"/>
      <c r="CD60" s="195"/>
      <c r="CE60" s="180"/>
      <c r="CF60" s="194"/>
      <c r="CG60" s="195"/>
      <c r="CH60" s="180"/>
      <c r="CI60" s="194"/>
      <c r="CJ60" s="195"/>
      <c r="CK60" s="180"/>
      <c r="CL60" s="194"/>
      <c r="CM60" s="195"/>
      <c r="CN60" s="180"/>
      <c r="CO60" s="194"/>
      <c r="CP60" s="195"/>
      <c r="CQ60" s="180"/>
      <c r="CR60" s="194"/>
      <c r="CS60" s="195"/>
      <c r="CT60" s="180"/>
      <c r="CU60" s="194"/>
      <c r="CV60" s="195"/>
      <c r="CW60" s="180"/>
      <c r="CX60" s="194"/>
      <c r="CY60" s="195"/>
      <c r="CZ60" s="180"/>
      <c r="DA60" s="194"/>
      <c r="DB60" s="195"/>
      <c r="DC60" s="180"/>
      <c r="DD60" s="194"/>
      <c r="DE60" s="195"/>
      <c r="DF60" s="180"/>
      <c r="DG60" s="194"/>
      <c r="DH60" s="195"/>
      <c r="DI60" s="180"/>
      <c r="DJ60" s="194"/>
      <c r="DK60" s="195"/>
      <c r="DL60" s="180"/>
      <c r="DM60" s="194"/>
      <c r="DN60" s="195"/>
      <c r="DO60" s="226"/>
      <c r="DP60" s="113"/>
      <c r="DY60" s="113"/>
      <c r="DZ60" s="113"/>
      <c r="EA60" s="113"/>
      <c r="EB60" s="113"/>
      <c r="EC60" s="113"/>
      <c r="ED60" s="113"/>
      <c r="EE60" s="113"/>
      <c r="EF60" s="113"/>
      <c r="EG60" s="113"/>
      <c r="EH60" s="113"/>
    </row>
    <row r="61" spans="2:138" ht="2.25" customHeight="1">
      <c r="B61" s="702" t="str">
        <f>VLOOKUP("bedingt io",Translations!$A:$T,MATCH(DR19,Translations!A2:P2,0),0)</f>
        <v>Conditionally OK - follow-on submission required</v>
      </c>
      <c r="C61" s="703"/>
      <c r="D61" s="703"/>
      <c r="E61" s="703"/>
      <c r="F61" s="703"/>
      <c r="G61" s="703"/>
      <c r="H61" s="703"/>
      <c r="I61" s="703"/>
      <c r="J61" s="703"/>
      <c r="K61" s="703"/>
      <c r="L61" s="703"/>
      <c r="M61" s="704"/>
      <c r="N61" s="190"/>
      <c r="O61" s="491"/>
      <c r="P61" s="492"/>
      <c r="Q61" s="493"/>
      <c r="R61" s="494"/>
      <c r="S61" s="492"/>
      <c r="T61" s="493"/>
      <c r="U61" s="495"/>
      <c r="V61" s="201"/>
      <c r="W61" s="171"/>
      <c r="X61" s="187"/>
      <c r="Y61" s="201"/>
      <c r="Z61" s="171"/>
      <c r="AA61" s="196"/>
      <c r="AB61" s="197"/>
      <c r="AC61" s="191"/>
      <c r="AD61" s="196"/>
      <c r="AE61" s="197"/>
      <c r="AF61" s="191"/>
      <c r="AG61" s="196"/>
      <c r="AH61" s="197"/>
      <c r="AI61" s="191"/>
      <c r="AJ61" s="196"/>
      <c r="AK61" s="197"/>
      <c r="AL61" s="191"/>
      <c r="AM61" s="196"/>
      <c r="AN61" s="197"/>
      <c r="AO61" s="191"/>
      <c r="AP61" s="196"/>
      <c r="AQ61" s="197"/>
      <c r="AR61" s="191"/>
      <c r="AS61" s="196"/>
      <c r="AT61" s="197"/>
      <c r="AU61" s="191"/>
      <c r="AV61" s="196"/>
      <c r="AW61" s="197"/>
      <c r="AX61" s="191"/>
      <c r="AY61" s="196"/>
      <c r="AZ61" s="197"/>
      <c r="BA61" s="191"/>
      <c r="BB61" s="196"/>
      <c r="BC61" s="197"/>
      <c r="BD61" s="191"/>
      <c r="BE61" s="196"/>
      <c r="BF61" s="197"/>
      <c r="BG61" s="191"/>
      <c r="BH61" s="196"/>
      <c r="BI61" s="197"/>
      <c r="BJ61" s="191"/>
      <c r="BK61" s="196"/>
      <c r="BL61" s="197"/>
      <c r="BM61" s="191"/>
      <c r="BN61" s="196"/>
      <c r="BO61" s="197"/>
      <c r="BP61" s="191"/>
      <c r="BQ61" s="196"/>
      <c r="BR61" s="197"/>
      <c r="BS61" s="191"/>
      <c r="BT61" s="196"/>
      <c r="BU61" s="197"/>
      <c r="BV61" s="191"/>
      <c r="BW61" s="196"/>
      <c r="BX61" s="197"/>
      <c r="BY61" s="191"/>
      <c r="BZ61" s="196"/>
      <c r="CA61" s="197"/>
      <c r="CB61" s="191"/>
      <c r="CC61" s="196"/>
      <c r="CD61" s="197"/>
      <c r="CE61" s="191"/>
      <c r="CF61" s="196"/>
      <c r="CG61" s="197"/>
      <c r="CH61" s="191"/>
      <c r="CI61" s="196"/>
      <c r="CJ61" s="197"/>
      <c r="CK61" s="191"/>
      <c r="CL61" s="196"/>
      <c r="CM61" s="197"/>
      <c r="CN61" s="191"/>
      <c r="CO61" s="196"/>
      <c r="CP61" s="197"/>
      <c r="CQ61" s="191"/>
      <c r="CR61" s="196"/>
      <c r="CS61" s="197"/>
      <c r="CT61" s="191"/>
      <c r="CU61" s="196"/>
      <c r="CV61" s="197"/>
      <c r="CW61" s="191"/>
      <c r="CX61" s="196"/>
      <c r="CY61" s="197"/>
      <c r="CZ61" s="191"/>
      <c r="DA61" s="196"/>
      <c r="DB61" s="197"/>
      <c r="DC61" s="191"/>
      <c r="DD61" s="196"/>
      <c r="DE61" s="197"/>
      <c r="DF61" s="191"/>
      <c r="DG61" s="196"/>
      <c r="DH61" s="197"/>
      <c r="DI61" s="191"/>
      <c r="DJ61" s="196"/>
      <c r="DK61" s="197"/>
      <c r="DL61" s="191"/>
      <c r="DM61" s="196"/>
      <c r="DN61" s="197"/>
      <c r="DO61" s="227"/>
      <c r="DP61" s="113"/>
      <c r="DY61" s="113"/>
      <c r="DZ61" s="113"/>
      <c r="EA61" s="113"/>
      <c r="EB61" s="113"/>
      <c r="EC61" s="113"/>
      <c r="ED61" s="113"/>
      <c r="EE61" s="113"/>
      <c r="EF61" s="113"/>
      <c r="EG61" s="113"/>
      <c r="EH61" s="113"/>
    </row>
    <row r="62" spans="2:138" ht="12" customHeight="1">
      <c r="B62" s="705"/>
      <c r="C62" s="706"/>
      <c r="D62" s="706"/>
      <c r="E62" s="706"/>
      <c r="F62" s="706"/>
      <c r="G62" s="706"/>
      <c r="H62" s="706"/>
      <c r="I62" s="706"/>
      <c r="J62" s="706"/>
      <c r="K62" s="706"/>
      <c r="L62" s="706"/>
      <c r="M62" s="707"/>
      <c r="N62" s="184"/>
      <c r="O62" s="423"/>
      <c r="P62" s="481"/>
      <c r="Q62" s="482"/>
      <c r="R62" s="423"/>
      <c r="S62" s="481"/>
      <c r="T62" s="482"/>
      <c r="U62" s="423"/>
      <c r="V62" s="167"/>
      <c r="W62" s="198"/>
      <c r="X62" s="209"/>
      <c r="Y62" s="423"/>
      <c r="Z62" s="479"/>
      <c r="AA62" s="480"/>
      <c r="AB62" s="423"/>
      <c r="AC62" s="481"/>
      <c r="AD62" s="482"/>
      <c r="AE62" s="423"/>
      <c r="AF62" s="481"/>
      <c r="AG62" s="482"/>
      <c r="AH62" s="423"/>
      <c r="AI62" s="481"/>
      <c r="AJ62" s="482"/>
      <c r="AK62" s="423"/>
      <c r="AL62" s="481"/>
      <c r="AM62" s="482"/>
      <c r="AN62" s="423"/>
      <c r="AO62" s="481"/>
      <c r="AP62" s="482"/>
      <c r="AQ62" s="423"/>
      <c r="AR62" s="481"/>
      <c r="AS62" s="482"/>
      <c r="AT62" s="423"/>
      <c r="AU62" s="481"/>
      <c r="AV62" s="482"/>
      <c r="AW62" s="423"/>
      <c r="AX62" s="481"/>
      <c r="AY62" s="482"/>
      <c r="AZ62" s="423"/>
      <c r="BA62" s="481"/>
      <c r="BB62" s="482"/>
      <c r="BC62" s="423"/>
      <c r="BD62" s="481"/>
      <c r="BE62" s="482"/>
      <c r="BF62" s="423"/>
      <c r="BG62" s="481"/>
      <c r="BH62" s="482"/>
      <c r="BI62" s="423"/>
      <c r="BJ62" s="481"/>
      <c r="BK62" s="482"/>
      <c r="BL62" s="423"/>
      <c r="BM62" s="481"/>
      <c r="BN62" s="482"/>
      <c r="BO62" s="423"/>
      <c r="BP62" s="481"/>
      <c r="BQ62" s="482"/>
      <c r="BR62" s="423"/>
      <c r="BS62" s="481"/>
      <c r="BT62" s="482"/>
      <c r="BU62" s="423"/>
      <c r="BV62" s="481"/>
      <c r="BW62" s="482"/>
      <c r="BX62" s="423"/>
      <c r="BY62" s="481"/>
      <c r="BZ62" s="482"/>
      <c r="CA62" s="423"/>
      <c r="CB62" s="481"/>
      <c r="CC62" s="482"/>
      <c r="CD62" s="423"/>
      <c r="CE62" s="481"/>
      <c r="CF62" s="482"/>
      <c r="CG62" s="423"/>
      <c r="CH62" s="481"/>
      <c r="CI62" s="482"/>
      <c r="CJ62" s="423"/>
      <c r="CK62" s="481"/>
      <c r="CL62" s="482"/>
      <c r="CM62" s="423"/>
      <c r="CN62" s="481"/>
      <c r="CO62" s="482"/>
      <c r="CP62" s="423"/>
      <c r="CQ62" s="481"/>
      <c r="CR62" s="482"/>
      <c r="CS62" s="423"/>
      <c r="CT62" s="481"/>
      <c r="CU62" s="482"/>
      <c r="CV62" s="423"/>
      <c r="CW62" s="481"/>
      <c r="CX62" s="482"/>
      <c r="CY62" s="423"/>
      <c r="CZ62" s="481"/>
      <c r="DA62" s="482"/>
      <c r="DB62" s="423"/>
      <c r="DC62" s="481"/>
      <c r="DD62" s="482"/>
      <c r="DE62" s="423"/>
      <c r="DF62" s="481"/>
      <c r="DG62" s="482"/>
      <c r="DH62" s="423"/>
      <c r="DI62" s="481"/>
      <c r="DJ62" s="482"/>
      <c r="DK62" s="423"/>
      <c r="DL62" s="481"/>
      <c r="DM62" s="482"/>
      <c r="DN62" s="423"/>
      <c r="DO62" s="188"/>
      <c r="DP62" s="113"/>
      <c r="DY62" s="113"/>
      <c r="DZ62" s="113"/>
      <c r="EA62" s="113"/>
      <c r="EB62" s="113"/>
      <c r="EC62" s="113"/>
      <c r="ED62" s="113"/>
      <c r="EE62" s="113"/>
      <c r="EF62" s="113"/>
      <c r="EG62" s="113"/>
      <c r="EH62" s="113"/>
    </row>
    <row r="63" spans="2:138" ht="2.25" customHeight="1">
      <c r="B63" s="708"/>
      <c r="C63" s="709"/>
      <c r="D63" s="709"/>
      <c r="E63" s="709"/>
      <c r="F63" s="709"/>
      <c r="G63" s="709"/>
      <c r="H63" s="709"/>
      <c r="I63" s="709"/>
      <c r="J63" s="709"/>
      <c r="K63" s="709"/>
      <c r="L63" s="709"/>
      <c r="M63" s="710"/>
      <c r="N63" s="185"/>
      <c r="O63" s="486"/>
      <c r="P63" s="487"/>
      <c r="Q63" s="488"/>
      <c r="R63" s="489"/>
      <c r="S63" s="487"/>
      <c r="T63" s="488"/>
      <c r="U63" s="490"/>
      <c r="V63" s="199"/>
      <c r="W63" s="200"/>
      <c r="X63" s="210"/>
      <c r="Y63" s="199"/>
      <c r="Z63" s="200"/>
      <c r="AA63" s="32"/>
      <c r="AB63" s="32"/>
      <c r="AC63" s="179"/>
      <c r="AD63" s="194"/>
      <c r="AE63" s="195"/>
      <c r="AF63" s="180"/>
      <c r="AG63" s="194"/>
      <c r="AH63" s="195"/>
      <c r="AI63" s="180"/>
      <c r="AJ63" s="194"/>
      <c r="AK63" s="195"/>
      <c r="AL63" s="180"/>
      <c r="AM63" s="194"/>
      <c r="AN63" s="195"/>
      <c r="AO63" s="180"/>
      <c r="AP63" s="194"/>
      <c r="AQ63" s="195"/>
      <c r="AR63" s="180"/>
      <c r="AS63" s="194"/>
      <c r="AT63" s="195"/>
      <c r="AU63" s="180"/>
      <c r="AV63" s="194"/>
      <c r="AW63" s="195"/>
      <c r="AX63" s="180"/>
      <c r="AY63" s="194"/>
      <c r="AZ63" s="195"/>
      <c r="BA63" s="180"/>
      <c r="BB63" s="194"/>
      <c r="BC63" s="195"/>
      <c r="BD63" s="180"/>
      <c r="BE63" s="194"/>
      <c r="BF63" s="195"/>
      <c r="BG63" s="180"/>
      <c r="BH63" s="194"/>
      <c r="BI63" s="195"/>
      <c r="BJ63" s="180"/>
      <c r="BK63" s="194"/>
      <c r="BL63" s="195"/>
      <c r="BM63" s="180"/>
      <c r="BN63" s="194"/>
      <c r="BO63" s="195"/>
      <c r="BP63" s="180"/>
      <c r="BQ63" s="194"/>
      <c r="BR63" s="195"/>
      <c r="BS63" s="180"/>
      <c r="BT63" s="194"/>
      <c r="BU63" s="195"/>
      <c r="BV63" s="180"/>
      <c r="BW63" s="194"/>
      <c r="BX63" s="195"/>
      <c r="BY63" s="180"/>
      <c r="BZ63" s="194"/>
      <c r="CA63" s="195"/>
      <c r="CB63" s="180"/>
      <c r="CC63" s="194"/>
      <c r="CD63" s="195"/>
      <c r="CE63" s="180"/>
      <c r="CF63" s="194"/>
      <c r="CG63" s="195"/>
      <c r="CH63" s="180"/>
      <c r="CI63" s="194"/>
      <c r="CJ63" s="195"/>
      <c r="CK63" s="180"/>
      <c r="CL63" s="194"/>
      <c r="CM63" s="229"/>
      <c r="CN63" s="180"/>
      <c r="CO63" s="194"/>
      <c r="CP63" s="195"/>
      <c r="CQ63" s="180"/>
      <c r="CR63" s="194"/>
      <c r="CS63" s="195"/>
      <c r="CT63" s="180"/>
      <c r="CU63" s="194"/>
      <c r="CV63" s="195"/>
      <c r="CW63" s="180"/>
      <c r="CX63" s="194"/>
      <c r="CY63" s="195"/>
      <c r="CZ63" s="180"/>
      <c r="DA63" s="194"/>
      <c r="DB63" s="195"/>
      <c r="DC63" s="180"/>
      <c r="DD63" s="194"/>
      <c r="DE63" s="195"/>
      <c r="DF63" s="180"/>
      <c r="DG63" s="194"/>
      <c r="DH63" s="195"/>
      <c r="DI63" s="180"/>
      <c r="DJ63" s="194"/>
      <c r="DK63" s="195"/>
      <c r="DL63" s="180"/>
      <c r="DM63" s="194"/>
      <c r="DN63" s="195"/>
      <c r="DO63" s="226"/>
      <c r="DP63" s="113"/>
      <c r="DY63" s="113"/>
      <c r="DZ63" s="113"/>
      <c r="EA63" s="113"/>
      <c r="EB63" s="113"/>
      <c r="EC63" s="113"/>
      <c r="ED63" s="113"/>
      <c r="EE63" s="113"/>
      <c r="EF63" s="113"/>
      <c r="EG63" s="113"/>
      <c r="EH63" s="113"/>
    </row>
    <row r="64" spans="2:138" ht="2.25" customHeight="1">
      <c r="B64" s="702" t="str">
        <f>VLOOKUP("n io",Translations!$A:$T,MATCH(DR19,Translations!A2:P2,0),0)</f>
        <v>NOK - Reapproval of PPA Process is required</v>
      </c>
      <c r="C64" s="703"/>
      <c r="D64" s="703"/>
      <c r="E64" s="703"/>
      <c r="F64" s="703"/>
      <c r="G64" s="703"/>
      <c r="H64" s="703"/>
      <c r="I64" s="703"/>
      <c r="J64" s="703"/>
      <c r="K64" s="703"/>
      <c r="L64" s="703"/>
      <c r="M64" s="704"/>
      <c r="N64" s="190"/>
      <c r="O64" s="491"/>
      <c r="P64" s="492"/>
      <c r="Q64" s="494"/>
      <c r="R64" s="494"/>
      <c r="S64" s="492"/>
      <c r="T64" s="494"/>
      <c r="U64" s="495"/>
      <c r="V64" s="201"/>
      <c r="W64" s="171"/>
      <c r="X64" s="187"/>
      <c r="Y64" s="201"/>
      <c r="Z64" s="171"/>
      <c r="AA64" s="196"/>
      <c r="AB64" s="197"/>
      <c r="AC64" s="191"/>
      <c r="AD64" s="196"/>
      <c r="AE64" s="197"/>
      <c r="AF64" s="191"/>
      <c r="AG64" s="196"/>
      <c r="AH64" s="197"/>
      <c r="AI64" s="191"/>
      <c r="AJ64" s="196"/>
      <c r="AK64" s="197"/>
      <c r="AL64" s="191"/>
      <c r="AM64" s="196"/>
      <c r="AN64" s="197"/>
      <c r="AO64" s="191"/>
      <c r="AP64" s="196"/>
      <c r="AQ64" s="197"/>
      <c r="AR64" s="191"/>
      <c r="AS64" s="196"/>
      <c r="AT64" s="197"/>
      <c r="AU64" s="191"/>
      <c r="AV64" s="196"/>
      <c r="AW64" s="197"/>
      <c r="AX64" s="191"/>
      <c r="AY64" s="196"/>
      <c r="AZ64" s="197"/>
      <c r="BA64" s="191"/>
      <c r="BB64" s="196"/>
      <c r="BC64" s="197"/>
      <c r="BD64" s="197"/>
      <c r="BE64" s="196"/>
      <c r="BF64" s="197"/>
      <c r="BG64" s="191"/>
      <c r="BH64" s="196"/>
      <c r="BI64" s="197"/>
      <c r="BJ64" s="191"/>
      <c r="BK64" s="196"/>
      <c r="BL64" s="197"/>
      <c r="BM64" s="191"/>
      <c r="BN64" s="196"/>
      <c r="BO64" s="197"/>
      <c r="BP64" s="191"/>
      <c r="BQ64" s="196"/>
      <c r="BR64" s="197"/>
      <c r="BS64" s="191"/>
      <c r="BT64" s="196"/>
      <c r="BU64" s="197"/>
      <c r="BV64" s="191"/>
      <c r="BW64" s="196"/>
      <c r="BX64" s="197"/>
      <c r="BY64" s="191"/>
      <c r="BZ64" s="196"/>
      <c r="CA64" s="197"/>
      <c r="CB64" s="191"/>
      <c r="CC64" s="196"/>
      <c r="CD64" s="197"/>
      <c r="CE64" s="191"/>
      <c r="CF64" s="196"/>
      <c r="CG64" s="197"/>
      <c r="CH64" s="191"/>
      <c r="CI64" s="196"/>
      <c r="CJ64" s="197"/>
      <c r="CK64" s="191"/>
      <c r="CL64" s="196"/>
      <c r="CM64" s="197"/>
      <c r="CN64" s="191"/>
      <c r="CO64" s="196"/>
      <c r="CP64" s="197"/>
      <c r="CQ64" s="191"/>
      <c r="CR64" s="196"/>
      <c r="CS64" s="197"/>
      <c r="CT64" s="191"/>
      <c r="CU64" s="196"/>
      <c r="CV64" s="197"/>
      <c r="CW64" s="191"/>
      <c r="CX64" s="196"/>
      <c r="CY64" s="197"/>
      <c r="CZ64" s="191"/>
      <c r="DA64" s="196"/>
      <c r="DB64" s="197"/>
      <c r="DC64" s="191"/>
      <c r="DD64" s="196"/>
      <c r="DE64" s="197"/>
      <c r="DF64" s="191"/>
      <c r="DG64" s="196"/>
      <c r="DH64" s="197"/>
      <c r="DI64" s="191"/>
      <c r="DJ64" s="196"/>
      <c r="DK64" s="197"/>
      <c r="DL64" s="191"/>
      <c r="DM64" s="196"/>
      <c r="DN64" s="197"/>
      <c r="DO64" s="227"/>
      <c r="DP64" s="113"/>
      <c r="DY64" s="113"/>
      <c r="DZ64" s="113"/>
      <c r="EA64" s="113"/>
      <c r="EB64" s="113"/>
      <c r="EC64" s="113"/>
      <c r="ED64" s="113"/>
      <c r="EE64" s="113"/>
      <c r="EF64" s="113"/>
      <c r="EG64" s="113"/>
      <c r="EH64" s="113"/>
    </row>
    <row r="65" spans="2:138" ht="12" customHeight="1">
      <c r="B65" s="705"/>
      <c r="C65" s="706"/>
      <c r="D65" s="706"/>
      <c r="E65" s="706"/>
      <c r="F65" s="706"/>
      <c r="G65" s="706"/>
      <c r="H65" s="706"/>
      <c r="I65" s="706"/>
      <c r="J65" s="706"/>
      <c r="K65" s="706"/>
      <c r="L65" s="706"/>
      <c r="M65" s="707"/>
      <c r="N65" s="184"/>
      <c r="O65" s="423"/>
      <c r="P65" s="480"/>
      <c r="Q65" s="482"/>
      <c r="R65" s="423"/>
      <c r="S65" s="480"/>
      <c r="T65" s="482"/>
      <c r="U65" s="423"/>
      <c r="V65" s="217"/>
      <c r="W65" s="198"/>
      <c r="X65" s="209"/>
      <c r="Y65" s="423"/>
      <c r="Z65" s="485"/>
      <c r="AA65" s="480"/>
      <c r="AB65" s="423"/>
      <c r="AC65" s="481"/>
      <c r="AD65" s="482"/>
      <c r="AE65" s="423"/>
      <c r="AF65" s="481"/>
      <c r="AG65" s="482"/>
      <c r="AH65" s="423"/>
      <c r="AI65" s="481"/>
      <c r="AJ65" s="480"/>
      <c r="AK65" s="423"/>
      <c r="AL65" s="481"/>
      <c r="AM65" s="482"/>
      <c r="AN65" s="423"/>
      <c r="AO65" s="481"/>
      <c r="AP65" s="482"/>
      <c r="AQ65" s="423"/>
      <c r="AR65" s="481"/>
      <c r="AS65" s="482"/>
      <c r="AT65" s="423"/>
      <c r="AU65" s="481"/>
      <c r="AV65" s="482"/>
      <c r="AW65" s="423"/>
      <c r="AX65" s="481"/>
      <c r="AY65" s="482"/>
      <c r="AZ65" s="423"/>
      <c r="BA65" s="481"/>
      <c r="BB65" s="482"/>
      <c r="BC65" s="423"/>
      <c r="BD65" s="480"/>
      <c r="BE65" s="482"/>
      <c r="BF65" s="423"/>
      <c r="BG65" s="481"/>
      <c r="BH65" s="482"/>
      <c r="BI65" s="423"/>
      <c r="BJ65" s="481"/>
      <c r="BK65" s="482"/>
      <c r="BL65" s="423"/>
      <c r="BM65" s="481"/>
      <c r="BN65" s="482"/>
      <c r="BO65" s="423"/>
      <c r="BP65" s="481"/>
      <c r="BQ65" s="482"/>
      <c r="BR65" s="423"/>
      <c r="BS65" s="481"/>
      <c r="BT65" s="482"/>
      <c r="BU65" s="423"/>
      <c r="BV65" s="481"/>
      <c r="BW65" s="482"/>
      <c r="BX65" s="423"/>
      <c r="BY65" s="481"/>
      <c r="BZ65" s="482"/>
      <c r="CA65" s="423"/>
      <c r="CB65" s="481"/>
      <c r="CC65" s="482"/>
      <c r="CD65" s="423"/>
      <c r="CE65" s="481"/>
      <c r="CF65" s="482"/>
      <c r="CG65" s="423"/>
      <c r="CH65" s="481"/>
      <c r="CI65" s="482"/>
      <c r="CJ65" s="423"/>
      <c r="CK65" s="481"/>
      <c r="CL65" s="482"/>
      <c r="CM65" s="423"/>
      <c r="CN65" s="481"/>
      <c r="CO65" s="482"/>
      <c r="CP65" s="423"/>
      <c r="CQ65" s="481"/>
      <c r="CR65" s="482"/>
      <c r="CS65" s="423"/>
      <c r="CT65" s="481"/>
      <c r="CU65" s="482"/>
      <c r="CV65" s="423"/>
      <c r="CW65" s="481"/>
      <c r="CX65" s="482"/>
      <c r="CY65" s="423"/>
      <c r="CZ65" s="481"/>
      <c r="DA65" s="484"/>
      <c r="DB65" s="423"/>
      <c r="DC65" s="483"/>
      <c r="DD65" s="482"/>
      <c r="DE65" s="423"/>
      <c r="DF65" s="481"/>
      <c r="DG65" s="482"/>
      <c r="DH65" s="423"/>
      <c r="DI65" s="481"/>
      <c r="DJ65" s="482"/>
      <c r="DK65" s="423"/>
      <c r="DL65" s="481"/>
      <c r="DM65" s="482"/>
      <c r="DN65" s="423"/>
      <c r="DO65" s="188"/>
      <c r="DP65" s="113"/>
      <c r="DY65" s="113"/>
      <c r="DZ65" s="113"/>
      <c r="EA65" s="113"/>
      <c r="EB65" s="113"/>
      <c r="EC65" s="113"/>
      <c r="ED65" s="113"/>
      <c r="EE65" s="113"/>
      <c r="EF65" s="113"/>
      <c r="EG65" s="113"/>
      <c r="EH65" s="113"/>
    </row>
    <row r="66" spans="2:138" ht="2.25" customHeight="1" thickBot="1">
      <c r="B66" s="807"/>
      <c r="C66" s="808"/>
      <c r="D66" s="808"/>
      <c r="E66" s="808"/>
      <c r="F66" s="808"/>
      <c r="G66" s="808"/>
      <c r="H66" s="808"/>
      <c r="I66" s="808"/>
      <c r="J66" s="808"/>
      <c r="K66" s="808"/>
      <c r="L66" s="808"/>
      <c r="M66" s="809"/>
      <c r="N66" s="193"/>
      <c r="O66" s="170"/>
      <c r="P66" s="192"/>
      <c r="Q66" s="205"/>
      <c r="R66" s="192"/>
      <c r="S66" s="192"/>
      <c r="T66" s="205"/>
      <c r="U66" s="202"/>
      <c r="V66" s="202"/>
      <c r="W66" s="206"/>
      <c r="X66" s="212"/>
      <c r="Y66" s="202"/>
      <c r="Z66" s="206"/>
      <c r="AA66" s="192"/>
      <c r="AB66" s="192"/>
      <c r="AC66" s="213"/>
      <c r="AD66" s="205"/>
      <c r="AE66" s="192"/>
      <c r="AF66" s="213"/>
      <c r="AG66" s="32"/>
      <c r="AH66" s="32"/>
      <c r="AI66" s="213"/>
      <c r="AJ66" s="32"/>
      <c r="AK66" s="32"/>
      <c r="AL66" s="213"/>
      <c r="AM66" s="32"/>
      <c r="AN66" s="32"/>
      <c r="AO66" s="213"/>
      <c r="AP66" s="205"/>
      <c r="AQ66" s="192"/>
      <c r="AR66" s="213"/>
      <c r="AS66" s="205"/>
      <c r="AT66" s="192"/>
      <c r="AU66" s="213"/>
      <c r="AV66" s="205"/>
      <c r="AW66" s="192"/>
      <c r="AX66" s="213"/>
      <c r="AY66" s="205"/>
      <c r="AZ66" s="192"/>
      <c r="BA66" s="213"/>
      <c r="BB66" s="205"/>
      <c r="BC66" s="192"/>
      <c r="BD66" s="192"/>
      <c r="BE66" s="205"/>
      <c r="BF66" s="192"/>
      <c r="BG66" s="213"/>
      <c r="BH66" s="205"/>
      <c r="BI66" s="192"/>
      <c r="BJ66" s="213"/>
      <c r="BK66" s="205"/>
      <c r="BL66" s="192"/>
      <c r="BM66" s="213"/>
      <c r="BN66" s="205"/>
      <c r="BO66" s="192"/>
      <c r="BP66" s="213"/>
      <c r="BQ66" s="205"/>
      <c r="BR66" s="192"/>
      <c r="BS66" s="213"/>
      <c r="BT66" s="205"/>
      <c r="BU66" s="192"/>
      <c r="BV66" s="213"/>
      <c r="BW66" s="205"/>
      <c r="BX66" s="192"/>
      <c r="BY66" s="213"/>
      <c r="BZ66" s="205"/>
      <c r="CA66" s="192"/>
      <c r="CB66" s="213"/>
      <c r="CC66" s="205"/>
      <c r="CD66" s="192"/>
      <c r="CE66" s="213"/>
      <c r="CF66" s="205"/>
      <c r="CG66" s="192"/>
      <c r="CH66" s="213"/>
      <c r="CI66" s="205"/>
      <c r="CJ66" s="192"/>
      <c r="CK66" s="213"/>
      <c r="CL66" s="205"/>
      <c r="CM66" s="192"/>
      <c r="CN66" s="213"/>
      <c r="CO66" s="205"/>
      <c r="CP66" s="192"/>
      <c r="CQ66" s="213"/>
      <c r="CR66" s="205"/>
      <c r="CS66" s="230"/>
      <c r="CT66" s="213"/>
      <c r="CU66" s="205"/>
      <c r="CV66" s="192"/>
      <c r="CW66" s="213"/>
      <c r="CX66" s="205"/>
      <c r="CY66" s="192"/>
      <c r="CZ66" s="213"/>
      <c r="DA66" s="205"/>
      <c r="DB66" s="192"/>
      <c r="DC66" s="213"/>
      <c r="DD66" s="205"/>
      <c r="DE66" s="192"/>
      <c r="DF66" s="213"/>
      <c r="DG66" s="205"/>
      <c r="DH66" s="192"/>
      <c r="DI66" s="213"/>
      <c r="DJ66" s="205"/>
      <c r="DK66" s="192"/>
      <c r="DL66" s="213"/>
      <c r="DM66" s="205"/>
      <c r="DN66" s="192"/>
      <c r="DO66" s="228"/>
      <c r="DP66" s="113"/>
      <c r="DY66" s="113"/>
      <c r="DZ66" s="113"/>
      <c r="EA66" s="113"/>
      <c r="EB66" s="113"/>
      <c r="EC66" s="113"/>
      <c r="ED66" s="113"/>
      <c r="EE66" s="113"/>
      <c r="EF66" s="113"/>
      <c r="EG66" s="113"/>
      <c r="EH66" s="113"/>
    </row>
    <row r="67" spans="2:138" ht="12.75" customHeight="1">
      <c r="B67" s="791" t="str">
        <f>VLOOKUP("nrabweichgenehmigung",Translations!$A:$T,MATCH(DR19,Translations!A2:P2,0),0)</f>
        <v>Deviation approval No.:</v>
      </c>
      <c r="C67" s="792"/>
      <c r="D67" s="792"/>
      <c r="E67" s="792"/>
      <c r="F67" s="792"/>
      <c r="G67" s="792"/>
      <c r="H67" s="792"/>
      <c r="I67" s="792"/>
      <c r="J67" s="792"/>
      <c r="K67" s="792"/>
      <c r="L67" s="793"/>
      <c r="M67" s="823" t="str">
        <f>VLOOKUP("gültig bis",Translations!$A:$T,MATCH(DR19,Translations!A2:P2,0),0)</f>
        <v>Valid until:</v>
      </c>
      <c r="N67" s="792"/>
      <c r="O67" s="792"/>
      <c r="P67" s="792"/>
      <c r="Q67" s="792"/>
      <c r="R67" s="792"/>
      <c r="S67" s="792"/>
      <c r="T67" s="792"/>
      <c r="U67" s="793"/>
      <c r="V67" s="823" t="str">
        <f>VLOOKUP("stückzahl",Translations!$A:$T,MATCH(DR19,Translations!A2:P2,0),0)</f>
        <v>Quantity of parts:</v>
      </c>
      <c r="W67" s="792"/>
      <c r="X67" s="792"/>
      <c r="Y67" s="792"/>
      <c r="Z67" s="792"/>
      <c r="AA67" s="792"/>
      <c r="AB67" s="792"/>
      <c r="AC67" s="792"/>
      <c r="AD67" s="792"/>
      <c r="AE67" s="792"/>
      <c r="AF67" s="792"/>
      <c r="AG67" s="792"/>
      <c r="AH67" s="792"/>
      <c r="AI67" s="792"/>
      <c r="AJ67" s="792"/>
      <c r="AK67" s="792"/>
      <c r="AL67" s="793"/>
      <c r="AM67" s="792" t="str">
        <f>VLOOKUP("termin nachbermusterung",Translations!$A:$T,MATCH(DR19,Translations!A2:P2,0),0)</f>
        <v>Deadline of reapproval PPA Process:</v>
      </c>
      <c r="AN67" s="792"/>
      <c r="AO67" s="792"/>
      <c r="AP67" s="792"/>
      <c r="AQ67" s="792"/>
      <c r="AR67" s="792"/>
      <c r="AS67" s="792"/>
      <c r="AT67" s="792"/>
      <c r="AU67" s="792"/>
      <c r="AV67" s="792"/>
      <c r="AW67" s="792"/>
      <c r="AX67" s="792"/>
      <c r="AY67" s="792"/>
      <c r="AZ67" s="792"/>
      <c r="BA67" s="792"/>
      <c r="BB67" s="792"/>
      <c r="BC67" s="792"/>
      <c r="BD67" s="792"/>
      <c r="BE67" s="792"/>
      <c r="BF67" s="792"/>
      <c r="BG67" s="792"/>
      <c r="BH67" s="792"/>
      <c r="BI67" s="792"/>
      <c r="BJ67" s="792"/>
      <c r="BK67" s="792"/>
      <c r="BL67" s="792"/>
      <c r="BM67" s="792"/>
      <c r="BN67" s="792"/>
      <c r="BO67" s="792"/>
      <c r="BP67" s="792"/>
      <c r="BQ67" s="792"/>
      <c r="BR67" s="792"/>
      <c r="BS67" s="792"/>
      <c r="BT67" s="792"/>
      <c r="BU67" s="792"/>
      <c r="BV67" s="792"/>
      <c r="BW67" s="792"/>
      <c r="BX67" s="793"/>
      <c r="BY67" s="823" t="str">
        <f>VLOOKUP("beirücksendunglieferschein-nrdatum",Translations!$A:$T,MATCH(DR19,Translations!A2:P2,0),0)</f>
        <v>If returned delivery note no. &amp; date:</v>
      </c>
      <c r="BZ67" s="792"/>
      <c r="CA67" s="792"/>
      <c r="CB67" s="792"/>
      <c r="CC67" s="792"/>
      <c r="CD67" s="792"/>
      <c r="CE67" s="792"/>
      <c r="CF67" s="792"/>
      <c r="CG67" s="792"/>
      <c r="CH67" s="792"/>
      <c r="CI67" s="792"/>
      <c r="CJ67" s="792"/>
      <c r="CK67" s="792"/>
      <c r="CL67" s="792"/>
      <c r="CM67" s="792"/>
      <c r="CN67" s="792"/>
      <c r="CO67" s="792"/>
      <c r="CP67" s="792"/>
      <c r="CQ67" s="792"/>
      <c r="CR67" s="792"/>
      <c r="CS67" s="792"/>
      <c r="CT67" s="792"/>
      <c r="CU67" s="792"/>
      <c r="CV67" s="792"/>
      <c r="CW67" s="792"/>
      <c r="CX67" s="792"/>
      <c r="CY67" s="792"/>
      <c r="CZ67" s="792"/>
      <c r="DA67" s="792"/>
      <c r="DB67" s="792"/>
      <c r="DC67" s="792"/>
      <c r="DD67" s="792"/>
      <c r="DE67" s="792"/>
      <c r="DF67" s="792"/>
      <c r="DG67" s="792"/>
      <c r="DH67" s="792"/>
      <c r="DI67" s="792"/>
      <c r="DJ67" s="792"/>
      <c r="DK67" s="792"/>
      <c r="DL67" s="792"/>
      <c r="DM67" s="792"/>
      <c r="DN67" s="792"/>
      <c r="DO67" s="824"/>
      <c r="DP67" s="113"/>
      <c r="DY67" s="113"/>
      <c r="DZ67" s="113"/>
      <c r="EA67" s="113"/>
      <c r="EB67" s="113"/>
      <c r="EC67" s="113"/>
      <c r="ED67" s="113"/>
      <c r="EE67" s="113"/>
      <c r="EF67" s="113"/>
      <c r="EG67" s="113"/>
      <c r="EH67" s="113"/>
    </row>
    <row r="68" spans="2:138" ht="12" customHeight="1">
      <c r="B68" s="833"/>
      <c r="C68" s="785"/>
      <c r="D68" s="785"/>
      <c r="E68" s="785"/>
      <c r="F68" s="785"/>
      <c r="G68" s="785"/>
      <c r="H68" s="785"/>
      <c r="I68" s="785"/>
      <c r="J68" s="785"/>
      <c r="K68" s="785"/>
      <c r="L68" s="790"/>
      <c r="M68" s="789"/>
      <c r="N68" s="785"/>
      <c r="O68" s="785"/>
      <c r="P68" s="785"/>
      <c r="Q68" s="785"/>
      <c r="R68" s="785"/>
      <c r="S68" s="785"/>
      <c r="T68" s="785"/>
      <c r="U68" s="790"/>
      <c r="V68" s="789"/>
      <c r="W68" s="785"/>
      <c r="X68" s="785"/>
      <c r="Y68" s="785"/>
      <c r="Z68" s="785"/>
      <c r="AA68" s="785"/>
      <c r="AB68" s="785"/>
      <c r="AC68" s="785"/>
      <c r="AD68" s="785"/>
      <c r="AE68" s="785"/>
      <c r="AF68" s="785"/>
      <c r="AG68" s="785"/>
      <c r="AH68" s="785"/>
      <c r="AI68" s="785"/>
      <c r="AJ68" s="785"/>
      <c r="AK68" s="785"/>
      <c r="AL68" s="790"/>
      <c r="AM68" s="789"/>
      <c r="AN68" s="785"/>
      <c r="AO68" s="785"/>
      <c r="AP68" s="785"/>
      <c r="AQ68" s="785"/>
      <c r="AR68" s="785"/>
      <c r="AS68" s="785"/>
      <c r="AT68" s="785"/>
      <c r="AU68" s="785"/>
      <c r="AV68" s="785"/>
      <c r="AW68" s="785"/>
      <c r="AX68" s="785"/>
      <c r="AY68" s="785"/>
      <c r="AZ68" s="785"/>
      <c r="BA68" s="785"/>
      <c r="BB68" s="785"/>
      <c r="BC68" s="785"/>
      <c r="BD68" s="785"/>
      <c r="BE68" s="785"/>
      <c r="BF68" s="785"/>
      <c r="BG68" s="785"/>
      <c r="BH68" s="785"/>
      <c r="BI68" s="785"/>
      <c r="BJ68" s="785"/>
      <c r="BK68" s="785"/>
      <c r="BL68" s="785"/>
      <c r="BM68" s="785"/>
      <c r="BN68" s="785"/>
      <c r="BO68" s="785"/>
      <c r="BP68" s="785"/>
      <c r="BQ68" s="785"/>
      <c r="BR68" s="785"/>
      <c r="BS68" s="785"/>
      <c r="BT68" s="785"/>
      <c r="BU68" s="785"/>
      <c r="BV68" s="785"/>
      <c r="BW68" s="785"/>
      <c r="BX68" s="790"/>
      <c r="BY68" s="789"/>
      <c r="BZ68" s="785"/>
      <c r="CA68" s="785"/>
      <c r="CB68" s="785"/>
      <c r="CC68" s="785"/>
      <c r="CD68" s="785"/>
      <c r="CE68" s="785"/>
      <c r="CF68" s="785"/>
      <c r="CG68" s="785"/>
      <c r="CH68" s="785"/>
      <c r="CI68" s="785"/>
      <c r="CJ68" s="785"/>
      <c r="CK68" s="785"/>
      <c r="CL68" s="785"/>
      <c r="CM68" s="785"/>
      <c r="CN68" s="785"/>
      <c r="CO68" s="785"/>
      <c r="CP68" s="785"/>
      <c r="CQ68" s="785"/>
      <c r="CR68" s="785"/>
      <c r="CS68" s="785"/>
      <c r="CT68" s="785"/>
      <c r="CU68" s="785"/>
      <c r="CV68" s="785"/>
      <c r="CW68" s="785"/>
      <c r="CX68" s="785"/>
      <c r="CY68" s="785"/>
      <c r="CZ68" s="785"/>
      <c r="DA68" s="785"/>
      <c r="DB68" s="785"/>
      <c r="DC68" s="785"/>
      <c r="DD68" s="785"/>
      <c r="DE68" s="785"/>
      <c r="DF68" s="785"/>
      <c r="DG68" s="785"/>
      <c r="DH68" s="785"/>
      <c r="DI68" s="785"/>
      <c r="DJ68" s="785"/>
      <c r="DK68" s="785"/>
      <c r="DL68" s="785"/>
      <c r="DM68" s="785"/>
      <c r="DN68" s="785"/>
      <c r="DO68" s="825"/>
      <c r="DP68" s="113"/>
      <c r="DY68" s="113"/>
      <c r="DZ68" s="113"/>
      <c r="EA68" s="113"/>
      <c r="EB68" s="113"/>
      <c r="EC68" s="113"/>
      <c r="ED68" s="113"/>
      <c r="EE68" s="113"/>
      <c r="EF68" s="113"/>
      <c r="EG68" s="113"/>
      <c r="EH68" s="113"/>
    </row>
    <row r="69" spans="2:138" ht="12.75" customHeight="1">
      <c r="B69" s="798" t="str">
        <f>B47</f>
        <v>Name:</v>
      </c>
      <c r="C69" s="699"/>
      <c r="D69" s="699"/>
      <c r="E69" s="699"/>
      <c r="F69" s="832"/>
      <c r="G69" s="832"/>
      <c r="H69" s="832"/>
      <c r="I69" s="832"/>
      <c r="J69" s="832"/>
      <c r="K69" s="832"/>
      <c r="L69" s="832"/>
      <c r="M69" s="832"/>
      <c r="N69" s="832"/>
      <c r="O69" s="832"/>
      <c r="P69" s="832"/>
      <c r="Q69" s="832"/>
      <c r="R69" s="832"/>
      <c r="S69" s="826" t="str">
        <f>L47</f>
        <v>Phone:</v>
      </c>
      <c r="T69" s="826"/>
      <c r="U69" s="826"/>
      <c r="V69" s="831"/>
      <c r="W69" s="831"/>
      <c r="X69" s="831"/>
      <c r="Y69" s="831"/>
      <c r="Z69" s="831"/>
      <c r="AA69" s="831"/>
      <c r="AB69" s="831"/>
      <c r="AC69" s="831"/>
      <c r="AD69" s="831"/>
      <c r="AE69" s="831"/>
      <c r="AF69" s="831"/>
      <c r="AG69" s="831"/>
      <c r="AH69" s="831"/>
      <c r="AI69" s="831"/>
      <c r="AJ69" s="831"/>
      <c r="AK69" s="831"/>
      <c r="AL69" s="831"/>
      <c r="AM69" s="831"/>
      <c r="AN69" s="831"/>
      <c r="AO69" s="831"/>
      <c r="AP69" s="831"/>
      <c r="AQ69" s="831"/>
      <c r="AR69" s="831"/>
      <c r="AS69" s="831"/>
      <c r="AT69" s="831"/>
      <c r="AU69" s="831"/>
      <c r="AV69" s="831"/>
      <c r="AW69" s="831"/>
      <c r="AX69" s="831"/>
      <c r="AY69" s="831"/>
      <c r="AZ69" s="831"/>
      <c r="BA69" s="831"/>
      <c r="BB69" s="831"/>
      <c r="BC69" s="831"/>
      <c r="BD69" s="831"/>
      <c r="BE69" s="831"/>
      <c r="BF69" s="831"/>
      <c r="BG69" s="831"/>
      <c r="BH69" s="831"/>
      <c r="BI69" s="831"/>
      <c r="BJ69" s="831"/>
      <c r="BK69" s="831"/>
      <c r="BL69" s="831"/>
      <c r="BM69" s="831"/>
      <c r="BN69" s="831"/>
      <c r="BO69" s="831"/>
      <c r="BP69" s="831"/>
      <c r="BQ69" s="831"/>
      <c r="BR69" s="831"/>
      <c r="BS69" s="831"/>
      <c r="BT69" s="831"/>
      <c r="BU69" s="831"/>
      <c r="BV69" s="831"/>
      <c r="BW69" s="831"/>
      <c r="BX69" s="831"/>
      <c r="BY69" s="465"/>
      <c r="BZ69" s="465"/>
      <c r="CA69" s="465"/>
      <c r="CB69" s="465"/>
      <c r="CC69" s="465"/>
      <c r="CD69" s="465"/>
      <c r="CE69" s="465"/>
      <c r="CF69" s="465"/>
      <c r="CG69" s="465"/>
      <c r="CH69" s="465"/>
      <c r="CI69" s="465"/>
      <c r="CJ69" s="465"/>
      <c r="CK69" s="465"/>
      <c r="CL69" s="465"/>
      <c r="CM69" s="465"/>
      <c r="CN69" s="465"/>
      <c r="CO69" s="465"/>
      <c r="CP69" s="465"/>
      <c r="CQ69" s="465"/>
      <c r="CR69" s="465"/>
      <c r="CS69" s="465"/>
      <c r="CT69" s="465"/>
      <c r="CU69" s="465"/>
      <c r="CV69" s="465"/>
      <c r="CW69" s="465"/>
      <c r="CX69" s="465"/>
      <c r="CY69" s="465"/>
      <c r="CZ69" s="465"/>
      <c r="DA69" s="465"/>
      <c r="DB69" s="465"/>
      <c r="DC69" s="465"/>
      <c r="DD69" s="465"/>
      <c r="DE69" s="465"/>
      <c r="DF69" s="465"/>
      <c r="DG69" s="465"/>
      <c r="DH69" s="465"/>
      <c r="DI69" s="465"/>
      <c r="DJ69" s="465"/>
      <c r="DK69" s="465"/>
      <c r="DL69" s="465"/>
      <c r="DM69" s="465"/>
      <c r="DN69" s="465"/>
      <c r="DO69" s="466"/>
      <c r="DP69" s="113"/>
      <c r="DR69" s="45"/>
      <c r="DS69" s="45"/>
      <c r="DT69" s="45"/>
      <c r="DU69" s="45"/>
      <c r="DV69" s="45"/>
      <c r="DW69" s="45"/>
      <c r="DX69" s="45"/>
      <c r="DY69" s="113"/>
      <c r="DZ69" s="113"/>
      <c r="EA69" s="113"/>
      <c r="EB69" s="113"/>
      <c r="EC69" s="113"/>
      <c r="ED69" s="113"/>
      <c r="EE69" s="113"/>
      <c r="EF69" s="113"/>
      <c r="EG69" s="113"/>
      <c r="EH69" s="113"/>
    </row>
    <row r="70" spans="2:138" ht="12.75" customHeight="1">
      <c r="B70" s="769" t="str">
        <f>B50</f>
        <v>Department:</v>
      </c>
      <c r="C70" s="770"/>
      <c r="D70" s="770"/>
      <c r="E70" s="770"/>
      <c r="F70" s="810"/>
      <c r="G70" s="810"/>
      <c r="H70" s="810"/>
      <c r="I70" s="810"/>
      <c r="J70" s="810"/>
      <c r="K70" s="810"/>
      <c r="L70" s="810"/>
      <c r="M70" s="810"/>
      <c r="N70" s="810"/>
      <c r="O70" s="810"/>
      <c r="P70" s="810"/>
      <c r="Q70" s="810"/>
      <c r="R70" s="810"/>
      <c r="S70" s="770" t="str">
        <f>L50</f>
        <v>Fax/Email:</v>
      </c>
      <c r="T70" s="770"/>
      <c r="U70" s="770"/>
      <c r="V70" s="785"/>
      <c r="W70" s="785"/>
      <c r="X70" s="785"/>
      <c r="Y70" s="785"/>
      <c r="Z70" s="785"/>
      <c r="AA70" s="785"/>
      <c r="AB70" s="785"/>
      <c r="AC70" s="785"/>
      <c r="AD70" s="785"/>
      <c r="AE70" s="785"/>
      <c r="AF70" s="785"/>
      <c r="AG70" s="785"/>
      <c r="AH70" s="785"/>
      <c r="AI70" s="785"/>
      <c r="AJ70" s="785"/>
      <c r="AK70" s="785"/>
      <c r="AL70" s="785"/>
      <c r="AM70" s="785"/>
      <c r="AN70" s="785"/>
      <c r="AO70" s="785"/>
      <c r="AP70" s="785"/>
      <c r="AQ70" s="785"/>
      <c r="AR70" s="785"/>
      <c r="AS70" s="785"/>
      <c r="AT70" s="785"/>
      <c r="AU70" s="785"/>
      <c r="AV70" s="785"/>
      <c r="AW70" s="785"/>
      <c r="AX70" s="785"/>
      <c r="AY70" s="785"/>
      <c r="AZ70" s="785"/>
      <c r="BA70" s="785"/>
      <c r="BB70" s="785"/>
      <c r="BC70" s="785"/>
      <c r="BD70" s="785"/>
      <c r="BE70" s="785"/>
      <c r="BF70" s="785"/>
      <c r="BG70" s="785"/>
      <c r="BH70" s="785"/>
      <c r="BI70" s="785"/>
      <c r="BJ70" s="785"/>
      <c r="BK70" s="785"/>
      <c r="BL70" s="785"/>
      <c r="BM70" s="785"/>
      <c r="BN70" s="785"/>
      <c r="BO70" s="785"/>
      <c r="BP70" s="785"/>
      <c r="BQ70" s="785"/>
      <c r="BR70" s="785"/>
      <c r="BS70" s="785"/>
      <c r="BT70" s="785"/>
      <c r="BU70" s="785"/>
      <c r="BV70" s="785"/>
      <c r="BW70" s="785"/>
      <c r="BX70" s="785"/>
      <c r="BY70" s="467"/>
      <c r="BZ70" s="467"/>
      <c r="CA70" s="467"/>
      <c r="CB70" s="467"/>
      <c r="CC70" s="467"/>
      <c r="CD70" s="467"/>
      <c r="CE70" s="467"/>
      <c r="CF70" s="467"/>
      <c r="CG70" s="467"/>
      <c r="CH70" s="467"/>
      <c r="CI70" s="467"/>
      <c r="CJ70" s="467"/>
      <c r="CK70" s="467"/>
      <c r="CL70" s="467"/>
      <c r="CM70" s="467"/>
      <c r="CN70" s="467"/>
      <c r="CO70" s="467"/>
      <c r="CP70" s="467"/>
      <c r="CQ70" s="467"/>
      <c r="CR70" s="467"/>
      <c r="CS70" s="467"/>
      <c r="CT70" s="467"/>
      <c r="CU70" s="467"/>
      <c r="CV70" s="467"/>
      <c r="CW70" s="467"/>
      <c r="CX70" s="467"/>
      <c r="CY70" s="467"/>
      <c r="CZ70" s="467"/>
      <c r="DA70" s="467"/>
      <c r="DB70" s="467"/>
      <c r="DC70" s="467"/>
      <c r="DD70" s="467"/>
      <c r="DE70" s="467"/>
      <c r="DF70" s="467"/>
      <c r="DG70" s="467"/>
      <c r="DH70" s="467"/>
      <c r="DI70" s="467"/>
      <c r="DJ70" s="467"/>
      <c r="DK70" s="467"/>
      <c r="DL70" s="467"/>
      <c r="DM70" s="467"/>
      <c r="DN70" s="467"/>
      <c r="DO70" s="468"/>
      <c r="DP70" s="113"/>
      <c r="DQ70" s="46"/>
      <c r="DR70" s="46"/>
      <c r="DS70" s="46"/>
      <c r="DT70" s="46"/>
      <c r="DU70" s="46"/>
      <c r="DV70" s="47"/>
      <c r="DW70" s="47"/>
      <c r="DX70" s="47"/>
      <c r="DY70" s="113"/>
      <c r="DZ70" s="113"/>
      <c r="EA70" s="113"/>
      <c r="EB70" s="113"/>
      <c r="EC70" s="113"/>
      <c r="ED70" s="113"/>
      <c r="EE70" s="113"/>
      <c r="EF70" s="113"/>
      <c r="EG70" s="113"/>
      <c r="EH70" s="113"/>
    </row>
    <row r="71" spans="2:138" ht="17.25" customHeight="1">
      <c r="B71" s="796" t="str">
        <f>B51</f>
        <v>Comments:</v>
      </c>
      <c r="C71" s="775"/>
      <c r="D71" s="775"/>
      <c r="E71" s="775"/>
      <c r="F71" s="841"/>
      <c r="G71" s="842"/>
      <c r="H71" s="842"/>
      <c r="I71" s="842"/>
      <c r="J71" s="842"/>
      <c r="K71" s="842"/>
      <c r="L71" s="842"/>
      <c r="M71" s="842"/>
      <c r="N71" s="842"/>
      <c r="O71" s="842"/>
      <c r="P71" s="842"/>
      <c r="Q71" s="842"/>
      <c r="R71" s="842"/>
      <c r="S71" s="842"/>
      <c r="T71" s="842"/>
      <c r="U71" s="842"/>
      <c r="V71" s="842"/>
      <c r="W71" s="842"/>
      <c r="X71" s="842"/>
      <c r="Y71" s="842"/>
      <c r="Z71" s="842"/>
      <c r="AA71" s="842"/>
      <c r="AB71" s="843"/>
      <c r="AC71" s="829" t="str">
        <f>X51</f>
        <v>Date:</v>
      </c>
      <c r="AD71" s="775"/>
      <c r="AE71" s="775"/>
      <c r="AF71" s="775"/>
      <c r="AG71" s="775"/>
      <c r="AH71" s="775"/>
      <c r="AI71" s="775"/>
      <c r="AJ71" s="775"/>
      <c r="AK71" s="775"/>
      <c r="AL71" s="147"/>
      <c r="AM71" s="815"/>
      <c r="AN71" s="815"/>
      <c r="AO71" s="815"/>
      <c r="AP71" s="815"/>
      <c r="AQ71" s="831"/>
      <c r="AR71" s="831"/>
      <c r="AS71" s="831"/>
      <c r="AT71" s="831"/>
      <c r="AU71" s="831"/>
      <c r="AV71" s="831"/>
      <c r="AW71" s="831"/>
      <c r="AX71" s="831"/>
      <c r="AY71" s="831"/>
      <c r="AZ71" s="831"/>
      <c r="BA71" s="831"/>
      <c r="BB71" s="831"/>
      <c r="BC71" s="852"/>
      <c r="BD71" s="829" t="str">
        <f>BC51</f>
        <v>Signature:</v>
      </c>
      <c r="BE71" s="775"/>
      <c r="BF71" s="775"/>
      <c r="BG71" s="775"/>
      <c r="BH71" s="775"/>
      <c r="BI71" s="775"/>
      <c r="BJ71" s="775"/>
      <c r="BK71" s="775"/>
      <c r="BL71" s="775"/>
      <c r="BM71" s="775"/>
      <c r="BN71" s="775"/>
      <c r="BO71" s="775"/>
      <c r="BP71" s="775"/>
      <c r="BQ71" s="775"/>
      <c r="BR71" s="846"/>
      <c r="BS71" s="846"/>
      <c r="BT71" s="846"/>
      <c r="BU71" s="846"/>
      <c r="BV71" s="846"/>
      <c r="BW71" s="846"/>
      <c r="BX71" s="846"/>
      <c r="BY71" s="846"/>
      <c r="BZ71" s="846"/>
      <c r="CA71" s="846"/>
      <c r="CB71" s="846"/>
      <c r="CC71" s="846"/>
      <c r="CD71" s="846"/>
      <c r="CE71" s="846"/>
      <c r="CF71" s="846"/>
      <c r="CG71" s="846"/>
      <c r="CH71" s="846"/>
      <c r="CI71" s="846"/>
      <c r="CJ71" s="846"/>
      <c r="CK71" s="846"/>
      <c r="CL71" s="846"/>
      <c r="CM71" s="846"/>
      <c r="CN71" s="846"/>
      <c r="CO71" s="846"/>
      <c r="CP71" s="846"/>
      <c r="CQ71" s="846"/>
      <c r="CR71" s="846"/>
      <c r="CS71" s="846"/>
      <c r="CT71" s="846"/>
      <c r="CU71" s="846"/>
      <c r="CV71" s="846"/>
      <c r="CW71" s="846"/>
      <c r="CX71" s="846"/>
      <c r="CY71" s="846"/>
      <c r="CZ71" s="846"/>
      <c r="DA71" s="846"/>
      <c r="DB71" s="846"/>
      <c r="DC71" s="846"/>
      <c r="DD71" s="846"/>
      <c r="DE71" s="846"/>
      <c r="DF71" s="846"/>
      <c r="DG71" s="846"/>
      <c r="DH71" s="846"/>
      <c r="DI71" s="846"/>
      <c r="DJ71" s="846"/>
      <c r="DK71" s="846"/>
      <c r="DL71" s="846"/>
      <c r="DM71" s="846"/>
      <c r="DN71" s="846"/>
      <c r="DO71" s="847"/>
      <c r="DP71" s="113"/>
      <c r="DY71" s="113"/>
      <c r="DZ71" s="113"/>
      <c r="EA71" s="113"/>
      <c r="EB71" s="113"/>
      <c r="EC71" s="113"/>
      <c r="ED71" s="113"/>
      <c r="EE71" s="113"/>
      <c r="EF71" s="113"/>
      <c r="EG71" s="113"/>
      <c r="EH71" s="113"/>
    </row>
    <row r="72" spans="2:138" ht="33.75" customHeight="1" thickBot="1">
      <c r="B72" s="827"/>
      <c r="C72" s="828"/>
      <c r="D72" s="828"/>
      <c r="E72" s="828"/>
      <c r="F72" s="844"/>
      <c r="G72" s="844"/>
      <c r="H72" s="844"/>
      <c r="I72" s="844"/>
      <c r="J72" s="844"/>
      <c r="K72" s="844"/>
      <c r="L72" s="844"/>
      <c r="M72" s="844"/>
      <c r="N72" s="844"/>
      <c r="O72" s="844"/>
      <c r="P72" s="844"/>
      <c r="Q72" s="844"/>
      <c r="R72" s="844"/>
      <c r="S72" s="844"/>
      <c r="T72" s="844"/>
      <c r="U72" s="844"/>
      <c r="V72" s="844"/>
      <c r="W72" s="844"/>
      <c r="X72" s="844"/>
      <c r="Y72" s="844"/>
      <c r="Z72" s="844"/>
      <c r="AA72" s="844"/>
      <c r="AB72" s="845"/>
      <c r="AC72" s="830"/>
      <c r="AD72" s="828"/>
      <c r="AE72" s="828"/>
      <c r="AF72" s="828"/>
      <c r="AG72" s="828"/>
      <c r="AH72" s="828"/>
      <c r="AI72" s="828"/>
      <c r="AJ72" s="828"/>
      <c r="AK72" s="828"/>
      <c r="AL72" s="146"/>
      <c r="AM72" s="848"/>
      <c r="AN72" s="848"/>
      <c r="AO72" s="848"/>
      <c r="AP72" s="848"/>
      <c r="AQ72" s="848"/>
      <c r="AR72" s="848"/>
      <c r="AS72" s="848"/>
      <c r="AT72" s="848"/>
      <c r="AU72" s="848"/>
      <c r="AV72" s="848"/>
      <c r="AW72" s="848"/>
      <c r="AX72" s="848"/>
      <c r="AY72" s="848"/>
      <c r="AZ72" s="848"/>
      <c r="BA72" s="848"/>
      <c r="BB72" s="848"/>
      <c r="BC72" s="853"/>
      <c r="BD72" s="830"/>
      <c r="BE72" s="828"/>
      <c r="BF72" s="828"/>
      <c r="BG72" s="828"/>
      <c r="BH72" s="828"/>
      <c r="BI72" s="828"/>
      <c r="BJ72" s="828"/>
      <c r="BK72" s="828"/>
      <c r="BL72" s="828"/>
      <c r="BM72" s="828"/>
      <c r="BN72" s="828"/>
      <c r="BO72" s="828"/>
      <c r="BP72" s="828"/>
      <c r="BQ72" s="828"/>
      <c r="BR72" s="848"/>
      <c r="BS72" s="848"/>
      <c r="BT72" s="848"/>
      <c r="BU72" s="848"/>
      <c r="BV72" s="848"/>
      <c r="BW72" s="848"/>
      <c r="BX72" s="848"/>
      <c r="BY72" s="848"/>
      <c r="BZ72" s="848"/>
      <c r="CA72" s="848"/>
      <c r="CB72" s="848"/>
      <c r="CC72" s="848"/>
      <c r="CD72" s="848"/>
      <c r="CE72" s="848"/>
      <c r="CF72" s="848"/>
      <c r="CG72" s="848"/>
      <c r="CH72" s="848"/>
      <c r="CI72" s="848"/>
      <c r="CJ72" s="848"/>
      <c r="CK72" s="848"/>
      <c r="CL72" s="848"/>
      <c r="CM72" s="848"/>
      <c r="CN72" s="848"/>
      <c r="CO72" s="848"/>
      <c r="CP72" s="848"/>
      <c r="CQ72" s="848"/>
      <c r="CR72" s="848"/>
      <c r="CS72" s="848"/>
      <c r="CT72" s="848"/>
      <c r="CU72" s="848"/>
      <c r="CV72" s="848"/>
      <c r="CW72" s="848"/>
      <c r="CX72" s="848"/>
      <c r="CY72" s="848"/>
      <c r="CZ72" s="848"/>
      <c r="DA72" s="848"/>
      <c r="DB72" s="848"/>
      <c r="DC72" s="848"/>
      <c r="DD72" s="848"/>
      <c r="DE72" s="848"/>
      <c r="DF72" s="848"/>
      <c r="DG72" s="848"/>
      <c r="DH72" s="848"/>
      <c r="DI72" s="848"/>
      <c r="DJ72" s="848"/>
      <c r="DK72" s="848"/>
      <c r="DL72" s="848"/>
      <c r="DM72" s="848"/>
      <c r="DN72" s="848"/>
      <c r="DO72" s="849"/>
      <c r="DP72" s="113"/>
      <c r="DY72" s="113"/>
      <c r="DZ72" s="113"/>
      <c r="EA72" s="113"/>
      <c r="EB72" s="113"/>
      <c r="EC72" s="113"/>
      <c r="ED72" s="113"/>
      <c r="EE72" s="113"/>
      <c r="EF72" s="113"/>
      <c r="EG72" s="113"/>
      <c r="EH72" s="113"/>
    </row>
    <row r="73" spans="2:138" ht="12" customHeight="1" thickBot="1">
      <c r="B73" s="838" t="str">
        <f>VLOOKUP("verteiler",Translations!$A:$T,MATCH(DR19,Translations!A2:P2,0),0)</f>
        <v>Distribution:</v>
      </c>
      <c r="C73" s="839"/>
      <c r="D73" s="839"/>
      <c r="E73" s="839"/>
      <c r="F73" s="839"/>
      <c r="G73" s="839"/>
      <c r="H73" s="839"/>
      <c r="I73" s="839"/>
      <c r="J73" s="839"/>
      <c r="K73" s="839"/>
      <c r="L73" s="839"/>
      <c r="M73" s="840"/>
      <c r="N73" s="834"/>
      <c r="O73" s="835"/>
      <c r="P73" s="835"/>
      <c r="Q73" s="834"/>
      <c r="R73" s="835"/>
      <c r="S73" s="835"/>
      <c r="T73" s="836"/>
      <c r="U73" s="837"/>
      <c r="V73" s="837"/>
      <c r="W73" s="836"/>
      <c r="X73" s="837"/>
      <c r="Y73" s="837"/>
      <c r="Z73" s="837"/>
      <c r="AA73" s="837"/>
      <c r="AB73" s="837"/>
      <c r="AC73" s="837"/>
      <c r="AD73" s="837"/>
      <c r="AE73" s="837"/>
      <c r="AF73" s="837"/>
      <c r="AG73" s="837"/>
      <c r="AH73" s="837"/>
      <c r="AI73" s="834"/>
      <c r="AJ73" s="835"/>
      <c r="AK73" s="835"/>
      <c r="AL73" s="835"/>
      <c r="AM73" s="835"/>
      <c r="AN73" s="835"/>
      <c r="AO73" s="835"/>
      <c r="AP73" s="835"/>
      <c r="AQ73" s="835"/>
      <c r="AR73" s="835"/>
      <c r="AS73" s="835"/>
      <c r="AT73" s="835"/>
      <c r="AU73" s="835"/>
      <c r="AV73" s="834"/>
      <c r="AW73" s="835"/>
      <c r="AX73" s="835"/>
      <c r="AY73" s="835"/>
      <c r="AZ73" s="835"/>
      <c r="BA73" s="835"/>
      <c r="BB73" s="835"/>
      <c r="BC73" s="835"/>
      <c r="BD73" s="835"/>
      <c r="BE73" s="835"/>
      <c r="BF73" s="835"/>
      <c r="BG73" s="835"/>
      <c r="BH73" s="835"/>
      <c r="BI73" s="834"/>
      <c r="BJ73" s="835"/>
      <c r="BK73" s="835"/>
      <c r="BL73" s="835"/>
      <c r="BM73" s="835"/>
      <c r="BN73" s="835"/>
      <c r="BO73" s="835"/>
      <c r="BP73" s="835"/>
      <c r="BQ73" s="835"/>
      <c r="BR73" s="835"/>
      <c r="BS73" s="835"/>
      <c r="BT73" s="835"/>
      <c r="BU73" s="834"/>
      <c r="BV73" s="835"/>
      <c r="BW73" s="835"/>
      <c r="BX73" s="835"/>
      <c r="BY73" s="835"/>
      <c r="BZ73" s="835"/>
      <c r="CA73" s="835"/>
      <c r="CB73" s="835"/>
      <c r="CC73" s="835"/>
      <c r="CD73" s="835"/>
      <c r="CE73" s="835"/>
      <c r="CF73" s="835"/>
      <c r="CG73" s="834"/>
      <c r="CH73" s="835"/>
      <c r="CI73" s="835"/>
      <c r="CJ73" s="835"/>
      <c r="CK73" s="835"/>
      <c r="CL73" s="835"/>
      <c r="CM73" s="835"/>
      <c r="CN73" s="835"/>
      <c r="CO73" s="835"/>
      <c r="CP73" s="835"/>
      <c r="CQ73" s="835"/>
      <c r="CR73" s="835"/>
      <c r="CS73" s="834"/>
      <c r="CT73" s="835"/>
      <c r="CU73" s="835"/>
      <c r="CV73" s="835"/>
      <c r="CW73" s="835"/>
      <c r="CX73" s="835"/>
      <c r="CY73" s="835"/>
      <c r="CZ73" s="835"/>
      <c r="DA73" s="835"/>
      <c r="DB73" s="835"/>
      <c r="DC73" s="835"/>
      <c r="DD73" s="850"/>
      <c r="DE73" s="834"/>
      <c r="DF73" s="835"/>
      <c r="DG73" s="835"/>
      <c r="DH73" s="835"/>
      <c r="DI73" s="835"/>
      <c r="DJ73" s="835"/>
      <c r="DK73" s="835"/>
      <c r="DL73" s="835"/>
      <c r="DM73" s="835"/>
      <c r="DN73" s="835"/>
      <c r="DO73" s="851"/>
      <c r="DP73" s="113"/>
      <c r="DY73" s="113"/>
      <c r="DZ73" s="113"/>
      <c r="EA73" s="113"/>
      <c r="EB73" s="113"/>
      <c r="EC73" s="113"/>
      <c r="ED73" s="113"/>
      <c r="EE73" s="113"/>
      <c r="EF73" s="113"/>
      <c r="EG73" s="113"/>
      <c r="EH73" s="113"/>
    </row>
    <row r="74" spans="2:138">
      <c r="DP74" s="113"/>
      <c r="DY74" s="113"/>
      <c r="DZ74" s="113"/>
      <c r="EA74" s="113"/>
      <c r="EB74" s="113"/>
      <c r="EC74" s="113"/>
      <c r="ED74" s="113"/>
      <c r="EE74" s="113"/>
      <c r="EF74" s="113"/>
      <c r="EG74" s="113"/>
      <c r="EH74" s="113"/>
    </row>
    <row r="75" spans="2:138">
      <c r="DP75" s="113"/>
      <c r="DY75" s="113"/>
      <c r="DZ75" s="113"/>
      <c r="EA75" s="113"/>
      <c r="EB75" s="113"/>
      <c r="EC75" s="113"/>
      <c r="ED75" s="113"/>
      <c r="EE75" s="113"/>
      <c r="EF75" s="113"/>
      <c r="EG75" s="113"/>
      <c r="EH75" s="113"/>
    </row>
    <row r="76" spans="2:138">
      <c r="DP76" s="113"/>
      <c r="DY76" s="113"/>
      <c r="DZ76" s="113"/>
      <c r="EA76" s="113"/>
      <c r="EB76" s="113"/>
      <c r="EC76" s="113"/>
      <c r="ED76" s="113"/>
      <c r="EE76" s="113"/>
      <c r="EF76" s="113"/>
      <c r="EG76" s="113"/>
      <c r="EH76" s="113"/>
    </row>
    <row r="77" spans="2:138">
      <c r="DP77" s="113"/>
    </row>
    <row r="78" spans="2:138">
      <c r="DP78" s="113"/>
    </row>
    <row r="79" spans="2:138">
      <c r="DP79" s="113"/>
    </row>
    <row r="90" spans="121:128">
      <c r="DR90" s="25"/>
      <c r="DS90" s="25"/>
      <c r="DT90" s="25"/>
      <c r="DU90" s="25"/>
      <c r="DV90" s="25"/>
      <c r="DW90" s="25"/>
      <c r="DX90" s="25"/>
    </row>
    <row r="91" spans="121:128">
      <c r="DR91" s="25"/>
      <c r="DS91" s="25"/>
      <c r="DT91" s="25"/>
      <c r="DU91" s="25"/>
      <c r="DV91" s="25"/>
      <c r="DW91" s="25"/>
      <c r="DX91" s="25"/>
    </row>
    <row r="92" spans="121:128">
      <c r="DR92" s="25"/>
      <c r="DS92" s="25"/>
      <c r="DT92" s="25"/>
      <c r="DU92" s="25"/>
      <c r="DV92" s="25"/>
      <c r="DW92" s="25"/>
      <c r="DX92" s="25"/>
    </row>
    <row r="93" spans="121:128">
      <c r="DR93" s="25"/>
      <c r="DS93" s="25"/>
      <c r="DT93" s="25"/>
      <c r="DU93" s="25"/>
      <c r="DV93" s="25"/>
      <c r="DW93" s="25"/>
      <c r="DX93" s="25"/>
    </row>
    <row r="94" spans="121:128">
      <c r="DR94" s="25"/>
      <c r="DS94" s="25"/>
      <c r="DT94" s="25"/>
      <c r="DU94" s="25"/>
      <c r="DV94" s="25"/>
      <c r="DW94" s="25"/>
      <c r="DX94" s="25"/>
    </row>
    <row r="95" spans="121:128">
      <c r="DQ95" s="33"/>
      <c r="DR95" s="33"/>
      <c r="DS95" s="25"/>
      <c r="DT95" s="25"/>
      <c r="DU95" s="25"/>
      <c r="DV95" s="25"/>
      <c r="DW95" s="25"/>
      <c r="DX95" s="25"/>
    </row>
    <row r="99" spans="121:128">
      <c r="DR99" s="25"/>
      <c r="DS99" s="25"/>
      <c r="DT99" s="25"/>
      <c r="DU99" s="25"/>
      <c r="DV99" s="25"/>
      <c r="DW99" s="25"/>
      <c r="DX99" s="25"/>
    </row>
    <row r="100" spans="121:128">
      <c r="DR100" s="25"/>
      <c r="DS100" s="25"/>
      <c r="DT100" s="25"/>
      <c r="DU100" s="25"/>
      <c r="DV100" s="25"/>
      <c r="DW100" s="25"/>
      <c r="DX100" s="25"/>
    </row>
    <row r="101" spans="121:128">
      <c r="DR101" s="25"/>
      <c r="DS101" s="25"/>
      <c r="DT101" s="25"/>
      <c r="DU101" s="25"/>
      <c r="DV101" s="25"/>
      <c r="DW101" s="25"/>
      <c r="DX101" s="25"/>
    </row>
    <row r="102" spans="121:128">
      <c r="DR102" s="25"/>
      <c r="DS102" s="25"/>
      <c r="DT102" s="25"/>
      <c r="DU102" s="25"/>
      <c r="DV102" s="25"/>
      <c r="DW102" s="25"/>
      <c r="DX102" s="25"/>
    </row>
    <row r="104" spans="121:128">
      <c r="DQ104" s="33"/>
      <c r="DR104" s="33"/>
    </row>
    <row r="115" spans="121:125">
      <c r="DQ115" s="26"/>
    </row>
    <row r="116" spans="121:125">
      <c r="DQ116" s="26"/>
    </row>
    <row r="117" spans="121:125">
      <c r="DQ117" s="26"/>
    </row>
    <row r="118" spans="121:125">
      <c r="DQ118" s="26"/>
    </row>
    <row r="119" spans="121:125">
      <c r="DQ119" s="26"/>
    </row>
    <row r="120" spans="121:125">
      <c r="DQ120" s="48"/>
      <c r="DR120" s="48"/>
      <c r="DS120" s="48"/>
      <c r="DT120" s="48"/>
      <c r="DU120" s="48"/>
    </row>
    <row r="121" spans="121:125">
      <c r="DQ121" s="48"/>
      <c r="DR121" s="48"/>
      <c r="DS121" s="48"/>
      <c r="DT121" s="48"/>
      <c r="DU121" s="48"/>
    </row>
    <row r="128" spans="121:125">
      <c r="DQ128" s="48"/>
      <c r="DR128" s="48"/>
      <c r="DS128" s="48"/>
      <c r="DT128" s="48"/>
      <c r="DU128" s="48"/>
    </row>
    <row r="129" spans="121:128">
      <c r="DQ129" s="48"/>
      <c r="DR129" s="48"/>
      <c r="DS129" s="48"/>
      <c r="DT129" s="48"/>
      <c r="DU129" s="48"/>
    </row>
    <row r="130" spans="121:128">
      <c r="DQ130" s="49"/>
      <c r="DR130" s="48"/>
      <c r="DS130" s="48"/>
      <c r="DT130" s="48"/>
      <c r="DU130" s="48"/>
    </row>
    <row r="137" spans="121:128">
      <c r="DQ137" s="50"/>
      <c r="DR137" s="50"/>
      <c r="DS137" s="50"/>
      <c r="DT137" s="50"/>
      <c r="DU137" s="50"/>
      <c r="DV137" s="50"/>
      <c r="DW137" s="50"/>
      <c r="DX137" s="50"/>
    </row>
    <row r="139" spans="121:128">
      <c r="DQ139" s="50"/>
      <c r="DR139" s="50"/>
      <c r="DS139" s="50"/>
      <c r="DT139" s="50"/>
      <c r="DU139" s="50"/>
      <c r="DV139" s="50"/>
      <c r="DW139" s="50"/>
      <c r="DX139" s="50"/>
    </row>
    <row r="140" spans="121:128">
      <c r="DR140" s="50"/>
      <c r="DS140" s="50"/>
      <c r="DT140" s="50"/>
      <c r="DU140" s="50"/>
      <c r="DV140" s="50"/>
      <c r="DW140" s="50"/>
      <c r="DX140" s="50"/>
    </row>
    <row r="141" spans="121:128">
      <c r="DR141" s="50"/>
      <c r="DS141" s="50"/>
      <c r="DT141" s="50"/>
      <c r="DU141" s="50"/>
      <c r="DV141" s="50"/>
      <c r="DW141" s="50"/>
      <c r="DX141" s="50"/>
    </row>
    <row r="142" spans="121:128">
      <c r="DR142" s="50"/>
      <c r="DS142" s="50"/>
      <c r="DT142" s="50"/>
      <c r="DU142" s="50"/>
      <c r="DV142" s="50"/>
      <c r="DW142" s="50"/>
      <c r="DX142" s="50"/>
    </row>
    <row r="143" spans="121:128">
      <c r="DR143" s="50"/>
      <c r="DS143" s="50"/>
      <c r="DT143" s="50"/>
      <c r="DU143" s="50"/>
      <c r="DV143" s="50"/>
      <c r="DW143" s="50"/>
      <c r="DX143" s="50"/>
    </row>
    <row r="198" spans="128:128">
      <c r="DX198" s="26" t="s">
        <v>294</v>
      </c>
    </row>
    <row r="199" spans="128:128">
      <c r="DX199" s="26" t="s">
        <v>293</v>
      </c>
    </row>
    <row r="200" spans="128:128">
      <c r="DX200" s="26" t="s">
        <v>295</v>
      </c>
    </row>
    <row r="201" spans="128:128">
      <c r="DX201" s="26" t="s">
        <v>296</v>
      </c>
    </row>
    <row r="202" spans="128:128">
      <c r="DX202" s="26" t="s">
        <v>297</v>
      </c>
    </row>
  </sheetData>
  <sheetProtection algorithmName="SHA-512" hashValue="v7P1jp/lfOhuKNAH4wcj6OiKuDxO5z1MeWbrgsHmgc0A2gNqRJyaz99J4dNnbjCvd6I12n9eY/VaiZJcc0XVbQ==" saltValue="Qnzt99aVmuOqJJN6sGD2hA==" spinCount="100000" sheet="1" scenarios="1" formatCells="0" formatColumns="0" formatRows="0" insertColumns="0" insertRows="0" deleteColumns="0" deleteRows="0" selectLockedCells="1"/>
  <customSheetViews>
    <customSheetView guid="{C19E9C51-470E-4D3B-836B-DD1DFD0BC608}" showPageBreaks="1" fitToPage="1">
      <selection activeCell="AT18" sqref="AT18"/>
      <pageMargins left="0.7" right="0.7" top="0.78740157499999996" bottom="0.78740157499999996" header="0.3" footer="0.3"/>
      <pageSetup paperSize="9" scale="70" orientation="landscape"/>
      <headerFooter>
        <oddHeader>&amp;R&amp;G</oddHeader>
      </headerFooter>
    </customSheetView>
  </customSheetViews>
  <mergeCells count="192">
    <mergeCell ref="AH47:CG48"/>
    <mergeCell ref="B42:F42"/>
    <mergeCell ref="B44:F44"/>
    <mergeCell ref="U43:AK43"/>
    <mergeCell ref="U44:AK44"/>
    <mergeCell ref="BO42:CO42"/>
    <mergeCell ref="BX37:DO37"/>
    <mergeCell ref="U41:AK41"/>
    <mergeCell ref="U42:AK42"/>
    <mergeCell ref="H41:T41"/>
    <mergeCell ref="G42:T42"/>
    <mergeCell ref="G43:T43"/>
    <mergeCell ref="G44:T44"/>
    <mergeCell ref="G45:T45"/>
    <mergeCell ref="DQ15:DR17"/>
    <mergeCell ref="BO45:CO45"/>
    <mergeCell ref="AL41:BN41"/>
    <mergeCell ref="AL42:BN42"/>
    <mergeCell ref="AL43:BN43"/>
    <mergeCell ref="AL44:BN44"/>
    <mergeCell ref="AL45:BN45"/>
    <mergeCell ref="CP44:DO44"/>
    <mergeCell ref="CP41:DO41"/>
    <mergeCell ref="CP42:DO42"/>
    <mergeCell ref="CP45:DO45"/>
    <mergeCell ref="B40:DO40"/>
    <mergeCell ref="BU23:DO23"/>
    <mergeCell ref="BU31:DO31"/>
    <mergeCell ref="BU33:DO33"/>
    <mergeCell ref="BU35:DO35"/>
    <mergeCell ref="E35:I35"/>
    <mergeCell ref="BT38:DO39"/>
    <mergeCell ref="BU25:DO25"/>
    <mergeCell ref="N73:P73"/>
    <mergeCell ref="Q73:S73"/>
    <mergeCell ref="T73:V73"/>
    <mergeCell ref="W73:AH73"/>
    <mergeCell ref="AI73:AU73"/>
    <mergeCell ref="B73:M73"/>
    <mergeCell ref="AV73:BH73"/>
    <mergeCell ref="BI73:BT73"/>
    <mergeCell ref="F71:AB72"/>
    <mergeCell ref="BR71:DO72"/>
    <mergeCell ref="BU73:CF73"/>
    <mergeCell ref="CG73:CR73"/>
    <mergeCell ref="CS73:DD73"/>
    <mergeCell ref="DE73:DO73"/>
    <mergeCell ref="AM71:BC72"/>
    <mergeCell ref="BY67:DO67"/>
    <mergeCell ref="BY68:DO68"/>
    <mergeCell ref="V67:AL67"/>
    <mergeCell ref="AM67:BX67"/>
    <mergeCell ref="BN56:BP57"/>
    <mergeCell ref="BQ56:BS57"/>
    <mergeCell ref="S69:U69"/>
    <mergeCell ref="S70:U70"/>
    <mergeCell ref="B71:E72"/>
    <mergeCell ref="AC71:AK72"/>
    <mergeCell ref="BD71:BQ72"/>
    <mergeCell ref="CI56:CK57"/>
    <mergeCell ref="CL56:CN57"/>
    <mergeCell ref="BH56:BJ57"/>
    <mergeCell ref="V69:BX69"/>
    <mergeCell ref="V70:BX70"/>
    <mergeCell ref="B70:E70"/>
    <mergeCell ref="B69:E69"/>
    <mergeCell ref="F69:R69"/>
    <mergeCell ref="F70:R70"/>
    <mergeCell ref="AD56:AF57"/>
    <mergeCell ref="AG56:AI57"/>
    <mergeCell ref="M67:U67"/>
    <mergeCell ref="B68:L68"/>
    <mergeCell ref="M68:U68"/>
    <mergeCell ref="V68:AL68"/>
    <mergeCell ref="AM68:BX68"/>
    <mergeCell ref="B67:L67"/>
    <mergeCell ref="B45:F45"/>
    <mergeCell ref="B51:E52"/>
    <mergeCell ref="B47:E48"/>
    <mergeCell ref="F47:K48"/>
    <mergeCell ref="L47:M48"/>
    <mergeCell ref="N47:Z48"/>
    <mergeCell ref="N54:DO54"/>
    <mergeCell ref="U45:AK45"/>
    <mergeCell ref="B64:M66"/>
    <mergeCell ref="Q56:S57"/>
    <mergeCell ref="L50:M50"/>
    <mergeCell ref="F50:K50"/>
    <mergeCell ref="BC51:BO52"/>
    <mergeCell ref="T56:W57"/>
    <mergeCell ref="Y56:Y57"/>
    <mergeCell ref="AA56:AC57"/>
    <mergeCell ref="N55:DO55"/>
    <mergeCell ref="AH51:BB52"/>
    <mergeCell ref="BQ51:DO52"/>
    <mergeCell ref="F51:W52"/>
    <mergeCell ref="X51:AF52"/>
    <mergeCell ref="AJ56:AL57"/>
    <mergeCell ref="AM56:AO57"/>
    <mergeCell ref="B1:DO3"/>
    <mergeCell ref="B4:DO4"/>
    <mergeCell ref="AB8:BO8"/>
    <mergeCell ref="AH12:BO12"/>
    <mergeCell ref="B8:B16"/>
    <mergeCell ref="AH14:BO14"/>
    <mergeCell ref="AH16:BO16"/>
    <mergeCell ref="BR16:DO16"/>
    <mergeCell ref="BW14:CF14"/>
    <mergeCell ref="BW12:DO12"/>
    <mergeCell ref="BW10:DO10"/>
    <mergeCell ref="BW8:DO8"/>
    <mergeCell ref="E6:K6"/>
    <mergeCell ref="E8:K17"/>
    <mergeCell ref="M8:U17"/>
    <mergeCell ref="M6:U6"/>
    <mergeCell ref="AB6:BR6"/>
    <mergeCell ref="CG14:DN14"/>
    <mergeCell ref="CM6:CS6"/>
    <mergeCell ref="BU6:CL6"/>
    <mergeCell ref="CT5:DO6"/>
    <mergeCell ref="CG7:DO7"/>
    <mergeCell ref="AH10:BO10"/>
    <mergeCell ref="BU27:DO27"/>
    <mergeCell ref="N56:P57"/>
    <mergeCell ref="DG56:DI57"/>
    <mergeCell ref="DJ56:DL57"/>
    <mergeCell ref="DM56:DO57"/>
    <mergeCell ref="BK56:BM57"/>
    <mergeCell ref="BT56:BV57"/>
    <mergeCell ref="BW56:BY57"/>
    <mergeCell ref="BZ56:CB57"/>
    <mergeCell ref="CC56:CE57"/>
    <mergeCell ref="CF56:CH57"/>
    <mergeCell ref="CO56:CQ57"/>
    <mergeCell ref="CR56:CT57"/>
    <mergeCell ref="CU56:CW57"/>
    <mergeCell ref="CX56:CZ57"/>
    <mergeCell ref="DA56:DC57"/>
    <mergeCell ref="DD56:DF57"/>
    <mergeCell ref="B46:DO46"/>
    <mergeCell ref="B50:E50"/>
    <mergeCell ref="F49:K49"/>
    <mergeCell ref="N49:AA49"/>
    <mergeCell ref="AB50:DO50"/>
    <mergeCell ref="N50:Z50"/>
    <mergeCell ref="CH47:DO48"/>
    <mergeCell ref="B58:M60"/>
    <mergeCell ref="B20:DO20"/>
    <mergeCell ref="BO44:CO44"/>
    <mergeCell ref="B18:DO18"/>
    <mergeCell ref="B19:DO19"/>
    <mergeCell ref="E23:I23"/>
    <mergeCell ref="E26:I26"/>
    <mergeCell ref="BO41:CO41"/>
    <mergeCell ref="BO43:CO43"/>
    <mergeCell ref="M31:V31"/>
    <mergeCell ref="M33:V33"/>
    <mergeCell ref="AB33:BO33"/>
    <mergeCell ref="AB31:BO31"/>
    <mergeCell ref="AB35:BO35"/>
    <mergeCell ref="AB37:BO37"/>
    <mergeCell ref="AB29:BO29"/>
    <mergeCell ref="AB27:BO27"/>
    <mergeCell ref="AB25:BO25"/>
    <mergeCell ref="AB23:BO23"/>
    <mergeCell ref="CP43:DO43"/>
    <mergeCell ref="BU37:BW37"/>
    <mergeCell ref="B41:G41"/>
    <mergeCell ref="B53:DO53"/>
    <mergeCell ref="E25:I25"/>
    <mergeCell ref="E37:G38"/>
    <mergeCell ref="BU29:DO29"/>
    <mergeCell ref="E33:I33"/>
    <mergeCell ref="DQ21:DR23"/>
    <mergeCell ref="B61:M63"/>
    <mergeCell ref="B54:M57"/>
    <mergeCell ref="AP56:AR57"/>
    <mergeCell ref="AS56:AU57"/>
    <mergeCell ref="AV56:AX57"/>
    <mergeCell ref="AY56:BA57"/>
    <mergeCell ref="BB56:BD57"/>
    <mergeCell ref="BE56:BG57"/>
    <mergeCell ref="M23:V23"/>
    <mergeCell ref="M25:V25"/>
    <mergeCell ref="M27:V27"/>
    <mergeCell ref="M29:V29"/>
    <mergeCell ref="E29:I29"/>
    <mergeCell ref="E31:I31"/>
    <mergeCell ref="B43:E43"/>
    <mergeCell ref="M35:V35"/>
    <mergeCell ref="M37:V37"/>
    <mergeCell ref="E27:I27"/>
  </mergeCells>
  <phoneticPr fontId="40" type="noConversion"/>
  <dataValidations count="1">
    <dataValidation type="list" allowBlank="1" showInputMessage="1" showErrorMessage="1" sqref="DR19">
      <formula1>$DX$198:$DX$199</formula1>
    </dataValidation>
  </dataValidations>
  <printOptions verticalCentered="1"/>
  <pageMargins left="0.6692913385826772" right="0.47244094488188981" top="0.19685039370078741" bottom="0.19685039370078741" header="0.11811023622047245" footer="0.11811023622047245"/>
  <pageSetup paperSize="9" scale="80" orientation="landscape" r:id="rId1"/>
  <headerFooter>
    <oddHeader>&amp;R&amp;G</oddHeader>
    <oddFooter>&amp;L&amp;8MHG-PU-F-0019&amp;C&amp;8PPA-Template ; Rev.: 01/2019&amp;R&amp;8J.-U. Liedtke / PU-SD-GA</oddFooter>
  </headerFooter>
  <legacyDrawingHF r:id="rId2"/>
  <extLst>
    <ext xmlns:mx="http://schemas.microsoft.com/office/mac/excel/2008/main" uri="{64002731-A6B0-56B0-2670-7721B7C09600}">
      <mx:PLV Mode="1"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5">
    <pageSetUpPr fitToPage="1"/>
  </sheetPr>
  <dimension ref="A1:AH114"/>
  <sheetViews>
    <sheetView showGridLines="0" zoomScaleNormal="100" workbookViewId="0">
      <selection activeCell="U11" sqref="U11:AH13"/>
    </sheetView>
  </sheetViews>
  <sheetFormatPr baseColWidth="10" defaultColWidth="9.140625" defaultRowHeight="12.75"/>
  <cols>
    <col min="1" max="2" width="0.42578125" style="24" customWidth="1"/>
    <col min="3" max="3" width="2.42578125" style="24" customWidth="1"/>
    <col min="4" max="4" width="0.42578125" style="24" customWidth="1"/>
    <col min="5" max="5" width="3.7109375" style="24" customWidth="1"/>
    <col min="6" max="6" width="6.140625" style="24" customWidth="1"/>
    <col min="7" max="7" width="1.85546875" style="24" customWidth="1"/>
    <col min="8" max="8" width="6.85546875" style="24" customWidth="1"/>
    <col min="9" max="9" width="9.140625" style="24"/>
    <col min="10" max="10" width="7" style="24" customWidth="1"/>
    <col min="11" max="11" width="1.85546875" style="24" customWidth="1"/>
    <col min="12" max="12" width="5.85546875" style="24" customWidth="1"/>
    <col min="13" max="13" width="5.140625" style="24" customWidth="1"/>
    <col min="14" max="14" width="8.42578125" style="24" customWidth="1"/>
    <col min="15" max="15" width="4.42578125" style="24" customWidth="1"/>
    <col min="16" max="16" width="3" style="24" customWidth="1"/>
    <col min="17" max="19" width="2.85546875" style="24" customWidth="1"/>
    <col min="20" max="20" width="5" style="24" customWidth="1"/>
    <col min="21" max="22" width="3.42578125" style="24" customWidth="1"/>
    <col min="23" max="23" width="2.7109375" style="24" customWidth="1"/>
    <col min="24" max="24" width="3.7109375" style="24" customWidth="1"/>
    <col min="25" max="28" width="3.42578125" style="24" customWidth="1"/>
    <col min="29" max="30" width="3.28515625" style="24" customWidth="1"/>
    <col min="31" max="31" width="2.42578125" style="24" customWidth="1"/>
    <col min="32" max="32" width="3.7109375" style="24" customWidth="1"/>
    <col min="33" max="34" width="3.140625" style="24" customWidth="1"/>
    <col min="35" max="16384" width="9.140625" style="24"/>
  </cols>
  <sheetData>
    <row r="1" spans="1:34" ht="17.25" customHeight="1">
      <c r="A1" s="912" t="str">
        <f>VLOOKUP("Inhaltdesppf",Translations!$A:$T,MATCH(Cover!DR19,Translations!A2:P2,0),0)</f>
        <v>Contents of the PPA report</v>
      </c>
      <c r="B1" s="912"/>
      <c r="C1" s="912"/>
      <c r="D1" s="912"/>
      <c r="E1" s="912"/>
      <c r="F1" s="912"/>
      <c r="G1" s="912"/>
      <c r="H1" s="912"/>
      <c r="I1" s="912"/>
      <c r="J1" s="912"/>
      <c r="K1" s="912"/>
      <c r="L1" s="912"/>
      <c r="M1" s="912"/>
      <c r="N1" s="912"/>
      <c r="O1" s="912"/>
      <c r="P1" s="912"/>
      <c r="Q1" s="912"/>
      <c r="R1" s="912"/>
      <c r="S1" s="912"/>
      <c r="T1" s="912"/>
      <c r="U1" s="912"/>
      <c r="V1" s="912"/>
      <c r="W1" s="912"/>
      <c r="X1" s="912"/>
      <c r="Y1" s="912"/>
      <c r="Z1" s="912"/>
      <c r="AA1" s="912"/>
      <c r="AB1" s="912"/>
      <c r="AC1" s="912"/>
      <c r="AD1" s="912"/>
      <c r="AE1" s="912"/>
      <c r="AF1" s="912"/>
      <c r="AG1" s="912"/>
      <c r="AH1" s="912"/>
    </row>
    <row r="2" spans="1:34" ht="17.25" customHeight="1">
      <c r="A2" s="912"/>
      <c r="B2" s="912"/>
      <c r="C2" s="912"/>
      <c r="D2" s="912"/>
      <c r="E2" s="912"/>
      <c r="F2" s="912"/>
      <c r="G2" s="912"/>
      <c r="H2" s="912"/>
      <c r="I2" s="912"/>
      <c r="J2" s="912"/>
      <c r="K2" s="912"/>
      <c r="L2" s="912"/>
      <c r="M2" s="912"/>
      <c r="N2" s="912"/>
      <c r="O2" s="912"/>
      <c r="P2" s="912"/>
      <c r="Q2" s="912"/>
      <c r="R2" s="912"/>
      <c r="S2" s="912"/>
      <c r="T2" s="912"/>
      <c r="U2" s="912"/>
      <c r="V2" s="912"/>
      <c r="W2" s="912"/>
      <c r="X2" s="912"/>
      <c r="Y2" s="912"/>
      <c r="Z2" s="912"/>
      <c r="AA2" s="912"/>
      <c r="AB2" s="912"/>
      <c r="AC2" s="912"/>
      <c r="AD2" s="912"/>
      <c r="AE2" s="912"/>
      <c r="AF2" s="912"/>
      <c r="AG2" s="912"/>
      <c r="AH2" s="912"/>
    </row>
    <row r="3" spans="1:34" ht="17.25" customHeight="1" thickBot="1">
      <c r="A3" s="913"/>
      <c r="B3" s="913"/>
      <c r="C3" s="913"/>
      <c r="D3" s="913"/>
      <c r="E3" s="913"/>
      <c r="F3" s="913"/>
      <c r="G3" s="913"/>
      <c r="H3" s="913"/>
      <c r="I3" s="913"/>
      <c r="J3" s="913"/>
      <c r="K3" s="913"/>
      <c r="L3" s="913"/>
      <c r="M3" s="913"/>
      <c r="N3" s="913"/>
      <c r="O3" s="913"/>
      <c r="P3" s="913"/>
      <c r="Q3" s="913"/>
      <c r="R3" s="913"/>
      <c r="S3" s="913"/>
      <c r="T3" s="913"/>
      <c r="U3" s="913"/>
      <c r="V3" s="913"/>
      <c r="W3" s="913"/>
      <c r="X3" s="913"/>
      <c r="Y3" s="913"/>
      <c r="Z3" s="913"/>
      <c r="AA3" s="913"/>
      <c r="AB3" s="913"/>
      <c r="AC3" s="913"/>
      <c r="AD3" s="913"/>
      <c r="AE3" s="913"/>
      <c r="AF3" s="913"/>
      <c r="AG3" s="913"/>
      <c r="AH3" s="913"/>
    </row>
    <row r="4" spans="1:34" ht="18" customHeight="1">
      <c r="A4" s="919" t="str">
        <f>Cover!B41</f>
        <v>Supplier/Production plant:</v>
      </c>
      <c r="B4" s="920"/>
      <c r="C4" s="920"/>
      <c r="D4" s="920"/>
      <c r="E4" s="920"/>
      <c r="F4" s="920"/>
      <c r="G4" s="920"/>
      <c r="H4" s="920"/>
      <c r="I4" s="920"/>
      <c r="J4" s="920"/>
      <c r="K4" s="921">
        <f>Cover!H41</f>
        <v>0</v>
      </c>
      <c r="L4" s="921"/>
      <c r="M4" s="921"/>
      <c r="N4" s="921"/>
      <c r="O4" s="921"/>
      <c r="P4" s="922"/>
      <c r="Q4" s="919" t="str">
        <f>Cover!BO41</f>
        <v>Customer:</v>
      </c>
      <c r="R4" s="920"/>
      <c r="S4" s="920"/>
      <c r="T4" s="920"/>
      <c r="U4" s="920"/>
      <c r="V4" s="920"/>
      <c r="W4" s="920"/>
      <c r="X4" s="923">
        <f>Cover!CP41</f>
        <v>0</v>
      </c>
      <c r="Y4" s="923"/>
      <c r="Z4" s="923"/>
      <c r="AA4" s="923"/>
      <c r="AB4" s="923"/>
      <c r="AC4" s="923"/>
      <c r="AD4" s="923"/>
      <c r="AE4" s="923"/>
      <c r="AF4" s="923"/>
      <c r="AG4" s="923"/>
      <c r="AH4" s="924"/>
    </row>
    <row r="5" spans="1:34" ht="18" customHeight="1">
      <c r="A5" s="914" t="str">
        <f>Cover!U41</f>
        <v>ID number / DUNS:</v>
      </c>
      <c r="B5" s="915"/>
      <c r="C5" s="915"/>
      <c r="D5" s="915"/>
      <c r="E5" s="915"/>
      <c r="F5" s="915"/>
      <c r="G5" s="915"/>
      <c r="H5" s="915"/>
      <c r="I5" s="915"/>
      <c r="J5" s="925">
        <f>Cover!AM41</f>
        <v>0</v>
      </c>
      <c r="K5" s="925"/>
      <c r="L5" s="925"/>
      <c r="M5" s="925"/>
      <c r="N5" s="925"/>
      <c r="O5" s="925"/>
      <c r="P5" s="925"/>
      <c r="Q5" s="914" t="str">
        <f>VLOOKUP("kennnummer",Translations!$A:$T,MATCH(Cover!DR19,Translations!A2:P2,0),0)</f>
        <v>ID number:</v>
      </c>
      <c r="R5" s="915"/>
      <c r="S5" s="915"/>
      <c r="T5" s="915"/>
      <c r="U5" s="915"/>
      <c r="V5" s="915"/>
      <c r="W5" s="915"/>
      <c r="X5" s="925"/>
      <c r="Y5" s="925"/>
      <c r="Z5" s="925"/>
      <c r="AA5" s="925"/>
      <c r="AB5" s="925"/>
      <c r="AC5" s="925"/>
      <c r="AD5" s="925"/>
      <c r="AE5" s="925"/>
      <c r="AF5" s="925"/>
      <c r="AG5" s="925"/>
      <c r="AH5" s="926"/>
    </row>
    <row r="6" spans="1:34" ht="18" customHeight="1">
      <c r="A6" s="914" t="str">
        <f>Cover!BO42</f>
        <v>Report No.:</v>
      </c>
      <c r="B6" s="915"/>
      <c r="C6" s="915"/>
      <c r="D6" s="915"/>
      <c r="E6" s="915"/>
      <c r="F6" s="915"/>
      <c r="G6" s="915"/>
      <c r="H6" s="915"/>
      <c r="I6" s="925">
        <f>Cover!CP42</f>
        <v>0</v>
      </c>
      <c r="J6" s="925"/>
      <c r="K6" s="925"/>
      <c r="L6" s="925"/>
      <c r="M6" s="925"/>
      <c r="N6" s="219" t="s">
        <v>69</v>
      </c>
      <c r="O6" s="927"/>
      <c r="P6" s="927"/>
      <c r="Q6" s="914" t="str">
        <f>A6</f>
        <v>Report No.:</v>
      </c>
      <c r="R6" s="915"/>
      <c r="S6" s="915"/>
      <c r="T6" s="915"/>
      <c r="U6" s="915"/>
      <c r="V6" s="915"/>
      <c r="W6" s="915"/>
      <c r="X6" s="925"/>
      <c r="Y6" s="925"/>
      <c r="Z6" s="925"/>
      <c r="AA6" s="925"/>
      <c r="AB6" s="925"/>
      <c r="AC6" s="918" t="s">
        <v>69</v>
      </c>
      <c r="AD6" s="918"/>
      <c r="AE6" s="918"/>
      <c r="AF6" s="927"/>
      <c r="AG6" s="927"/>
      <c r="AH6" s="928"/>
    </row>
    <row r="7" spans="1:34" ht="18" customHeight="1">
      <c r="A7" s="916" t="str">
        <f>Cover!B42</f>
        <v>Part description:</v>
      </c>
      <c r="B7" s="917"/>
      <c r="C7" s="917"/>
      <c r="D7" s="917"/>
      <c r="E7" s="917"/>
      <c r="F7" s="917"/>
      <c r="G7" s="917"/>
      <c r="H7" s="917"/>
      <c r="I7" s="938">
        <f>Cover!G42</f>
        <v>0</v>
      </c>
      <c r="J7" s="938"/>
      <c r="K7" s="938"/>
      <c r="L7" s="938"/>
      <c r="M7" s="938"/>
      <c r="N7" s="938"/>
      <c r="O7" s="938"/>
      <c r="P7" s="939"/>
      <c r="Q7" s="916" t="str">
        <f>VLOOKUP("zeichnungsnummer",Translations!$A:$T,MATCH(Cover!DR19,Translations!A2:P2,0),0)</f>
        <v>Drawing number:</v>
      </c>
      <c r="R7" s="917"/>
      <c r="S7" s="917"/>
      <c r="T7" s="917"/>
      <c r="U7" s="917"/>
      <c r="V7" s="917"/>
      <c r="W7" s="917"/>
      <c r="X7" s="938"/>
      <c r="Y7" s="938"/>
      <c r="Z7" s="938"/>
      <c r="AA7" s="938"/>
      <c r="AB7" s="938"/>
      <c r="AC7" s="938"/>
      <c r="AD7" s="938"/>
      <c r="AE7" s="938"/>
      <c r="AF7" s="938"/>
      <c r="AG7" s="938"/>
      <c r="AH7" s="939"/>
    </row>
    <row r="8" spans="1:34" ht="18" customHeight="1" thickBot="1">
      <c r="A8" s="942" t="str">
        <f>Cover!B43</f>
        <v>Part number:</v>
      </c>
      <c r="B8" s="943"/>
      <c r="C8" s="943"/>
      <c r="D8" s="943"/>
      <c r="E8" s="943"/>
      <c r="F8" s="943"/>
      <c r="G8" s="943"/>
      <c r="H8" s="943"/>
      <c r="I8" s="940">
        <f>Cover!G43</f>
        <v>0</v>
      </c>
      <c r="J8" s="940"/>
      <c r="K8" s="940"/>
      <c r="L8" s="940"/>
      <c r="M8" s="940"/>
      <c r="N8" s="940"/>
      <c r="O8" s="940"/>
      <c r="P8" s="941"/>
      <c r="Q8" s="942" t="str">
        <f>Cover!B45</f>
        <v>Issue / Date:</v>
      </c>
      <c r="R8" s="943"/>
      <c r="S8" s="943"/>
      <c r="T8" s="943"/>
      <c r="U8" s="943"/>
      <c r="V8" s="943"/>
      <c r="W8" s="943"/>
      <c r="X8" s="940"/>
      <c r="Y8" s="940"/>
      <c r="Z8" s="940"/>
      <c r="AA8" s="940"/>
      <c r="AB8" s="940"/>
      <c r="AC8" s="940"/>
      <c r="AD8" s="940"/>
      <c r="AE8" s="940"/>
      <c r="AF8" s="940"/>
      <c r="AG8" s="940"/>
      <c r="AH8" s="941"/>
    </row>
    <row r="9" spans="1:34" ht="3" customHeight="1" thickBot="1"/>
    <row r="10" spans="1:34" ht="42.95" customHeight="1" thickBot="1">
      <c r="A10" s="947" t="str">
        <f>VLOOKUP("anlage",Translations!$A:$T,MATCH(Cover!DR19,Translations!A2:P2,0),0)</f>
        <v>Enclosure</v>
      </c>
      <c r="B10" s="948"/>
      <c r="C10" s="948"/>
      <c r="D10" s="948"/>
      <c r="E10" s="948"/>
      <c r="F10" s="948"/>
      <c r="G10" s="948"/>
      <c r="H10" s="948"/>
      <c r="I10" s="948"/>
      <c r="J10" s="948"/>
      <c r="K10" s="948"/>
      <c r="L10" s="948"/>
      <c r="M10" s="948"/>
      <c r="N10" s="948"/>
      <c r="O10" s="948"/>
      <c r="P10" s="948"/>
      <c r="Q10" s="944" t="str">
        <f>Q8</f>
        <v>Issue / Date:</v>
      </c>
      <c r="R10" s="945"/>
      <c r="S10" s="945"/>
      <c r="T10" s="946"/>
      <c r="U10" s="958" t="str">
        <f>VLOOKUP("artumfang und kennzeichnung deranlage",Translations!$A:$T,MATCH(Cover!DR19,Translations!A2:P2,0),0)</f>
        <v>Nature, extent and identification of enclosures</v>
      </c>
      <c r="V10" s="959"/>
      <c r="W10" s="959"/>
      <c r="X10" s="959"/>
      <c r="Y10" s="959"/>
      <c r="Z10" s="959"/>
      <c r="AA10" s="959"/>
      <c r="AB10" s="959"/>
      <c r="AC10" s="959"/>
      <c r="AD10" s="959"/>
      <c r="AE10" s="959"/>
      <c r="AF10" s="959"/>
      <c r="AG10" s="959"/>
      <c r="AH10" s="960"/>
    </row>
    <row r="11" spans="1:34" s="78" customFormat="1" ht="3" customHeight="1">
      <c r="A11" s="244"/>
      <c r="B11" s="246"/>
      <c r="C11" s="246"/>
      <c r="D11" s="153"/>
      <c r="E11" s="153"/>
      <c r="F11" s="153"/>
      <c r="G11" s="153"/>
      <c r="H11" s="153"/>
      <c r="I11" s="153"/>
      <c r="J11" s="153"/>
      <c r="K11" s="153"/>
      <c r="L11" s="153"/>
      <c r="M11" s="153"/>
      <c r="N11" s="153"/>
      <c r="O11" s="153"/>
      <c r="P11" s="153"/>
      <c r="Q11" s="949"/>
      <c r="R11" s="950"/>
      <c r="S11" s="950"/>
      <c r="T11" s="951"/>
      <c r="U11" s="961"/>
      <c r="V11" s="962"/>
      <c r="W11" s="962"/>
      <c r="X11" s="962"/>
      <c r="Y11" s="962"/>
      <c r="Z11" s="962"/>
      <c r="AA11" s="962"/>
      <c r="AB11" s="962"/>
      <c r="AC11" s="962"/>
      <c r="AD11" s="962"/>
      <c r="AE11" s="962"/>
      <c r="AF11" s="962"/>
      <c r="AG11" s="962"/>
      <c r="AH11" s="963"/>
    </row>
    <row r="12" spans="1:34" ht="14.1" customHeight="1">
      <c r="A12" s="245"/>
      <c r="B12" s="31"/>
      <c r="C12" s="565"/>
      <c r="D12" s="31"/>
      <c r="E12" s="877" t="str">
        <f>Cover!E23</f>
        <v>1.1 Geometry, dimensional check</v>
      </c>
      <c r="F12" s="877"/>
      <c r="G12" s="877"/>
      <c r="H12" s="877"/>
      <c r="I12" s="877"/>
      <c r="J12" s="877"/>
      <c r="K12" s="877"/>
      <c r="L12" s="877"/>
      <c r="M12" s="877"/>
      <c r="N12" s="877"/>
      <c r="O12" s="877"/>
      <c r="P12" s="877"/>
      <c r="Q12" s="952"/>
      <c r="R12" s="953"/>
      <c r="S12" s="953"/>
      <c r="T12" s="954"/>
      <c r="U12" s="964"/>
      <c r="V12" s="965"/>
      <c r="W12" s="965"/>
      <c r="X12" s="965"/>
      <c r="Y12" s="965"/>
      <c r="Z12" s="965"/>
      <c r="AA12" s="965"/>
      <c r="AB12" s="965"/>
      <c r="AC12" s="965"/>
      <c r="AD12" s="965"/>
      <c r="AE12" s="965"/>
      <c r="AF12" s="965"/>
      <c r="AG12" s="965"/>
      <c r="AH12" s="966"/>
    </row>
    <row r="13" spans="1:34" ht="3" customHeight="1">
      <c r="A13" s="245"/>
      <c r="B13" s="31"/>
      <c r="C13" s="609"/>
      <c r="D13" s="31"/>
      <c r="E13" s="220"/>
      <c r="F13" s="220"/>
      <c r="G13" s="220"/>
      <c r="H13" s="220"/>
      <c r="I13" s="220"/>
      <c r="J13" s="220"/>
      <c r="K13" s="220"/>
      <c r="L13" s="220"/>
      <c r="M13" s="220"/>
      <c r="N13" s="220"/>
      <c r="O13" s="220"/>
      <c r="P13" s="220"/>
      <c r="Q13" s="955"/>
      <c r="R13" s="956"/>
      <c r="S13" s="956"/>
      <c r="T13" s="957"/>
      <c r="U13" s="967"/>
      <c r="V13" s="968"/>
      <c r="W13" s="968"/>
      <c r="X13" s="968"/>
      <c r="Y13" s="968"/>
      <c r="Z13" s="968"/>
      <c r="AA13" s="968"/>
      <c r="AB13" s="968"/>
      <c r="AC13" s="968"/>
      <c r="AD13" s="968"/>
      <c r="AE13" s="968"/>
      <c r="AF13" s="968"/>
      <c r="AG13" s="968"/>
      <c r="AH13" s="969"/>
    </row>
    <row r="14" spans="1:34" ht="3" customHeight="1">
      <c r="A14" s="249"/>
      <c r="B14" s="250"/>
      <c r="C14" s="610"/>
      <c r="D14" s="250"/>
      <c r="E14" s="251"/>
      <c r="F14" s="251"/>
      <c r="G14" s="251"/>
      <c r="H14" s="251"/>
      <c r="I14" s="251"/>
      <c r="J14" s="251"/>
      <c r="K14" s="251"/>
      <c r="L14" s="251"/>
      <c r="M14" s="251"/>
      <c r="N14" s="251"/>
      <c r="O14" s="251"/>
      <c r="P14" s="251"/>
      <c r="Q14" s="929"/>
      <c r="R14" s="930"/>
      <c r="S14" s="930"/>
      <c r="T14" s="931"/>
      <c r="U14" s="970"/>
      <c r="V14" s="971"/>
      <c r="W14" s="971"/>
      <c r="X14" s="971"/>
      <c r="Y14" s="971"/>
      <c r="Z14" s="971"/>
      <c r="AA14" s="971"/>
      <c r="AB14" s="971"/>
      <c r="AC14" s="971"/>
      <c r="AD14" s="971"/>
      <c r="AE14" s="971"/>
      <c r="AF14" s="971"/>
      <c r="AG14" s="971"/>
      <c r="AH14" s="972"/>
    </row>
    <row r="15" spans="1:34" ht="14.1" customHeight="1">
      <c r="A15" s="245"/>
      <c r="B15" s="31"/>
      <c r="C15" s="565"/>
      <c r="D15" s="31"/>
      <c r="E15" s="877" t="str">
        <f>Cover!E25</f>
        <v>1.2 Function check</v>
      </c>
      <c r="F15" s="877"/>
      <c r="G15" s="877"/>
      <c r="H15" s="877"/>
      <c r="I15" s="877"/>
      <c r="J15" s="877"/>
      <c r="K15" s="877"/>
      <c r="L15" s="877"/>
      <c r="M15" s="877"/>
      <c r="N15" s="877"/>
      <c r="O15" s="877"/>
      <c r="P15" s="877"/>
      <c r="Q15" s="932"/>
      <c r="R15" s="933"/>
      <c r="S15" s="933"/>
      <c r="T15" s="934"/>
      <c r="U15" s="973"/>
      <c r="V15" s="974"/>
      <c r="W15" s="974"/>
      <c r="X15" s="974"/>
      <c r="Y15" s="974"/>
      <c r="Z15" s="974"/>
      <c r="AA15" s="974"/>
      <c r="AB15" s="974"/>
      <c r="AC15" s="974"/>
      <c r="AD15" s="974"/>
      <c r="AE15" s="974"/>
      <c r="AF15" s="974"/>
      <c r="AG15" s="974"/>
      <c r="AH15" s="975"/>
    </row>
    <row r="16" spans="1:34" ht="3" customHeight="1">
      <c r="A16" s="247"/>
      <c r="B16" s="248"/>
      <c r="C16" s="611"/>
      <c r="D16" s="248"/>
      <c r="E16" s="252"/>
      <c r="F16" s="252"/>
      <c r="G16" s="252"/>
      <c r="H16" s="252"/>
      <c r="I16" s="252"/>
      <c r="J16" s="252"/>
      <c r="K16" s="252"/>
      <c r="L16" s="252"/>
      <c r="M16" s="252"/>
      <c r="N16" s="252"/>
      <c r="O16" s="252"/>
      <c r="P16" s="252"/>
      <c r="Q16" s="935"/>
      <c r="R16" s="936"/>
      <c r="S16" s="936"/>
      <c r="T16" s="937"/>
      <c r="U16" s="976"/>
      <c r="V16" s="977"/>
      <c r="W16" s="977"/>
      <c r="X16" s="977"/>
      <c r="Y16" s="977"/>
      <c r="Z16" s="977"/>
      <c r="AA16" s="977"/>
      <c r="AB16" s="977"/>
      <c r="AC16" s="977"/>
      <c r="AD16" s="977"/>
      <c r="AE16" s="977"/>
      <c r="AF16" s="977"/>
      <c r="AG16" s="977"/>
      <c r="AH16" s="978"/>
    </row>
    <row r="17" spans="1:34" ht="3" customHeight="1">
      <c r="A17" s="249"/>
      <c r="B17" s="250"/>
      <c r="C17" s="610"/>
      <c r="D17" s="250"/>
      <c r="E17" s="251"/>
      <c r="F17" s="251"/>
      <c r="G17" s="251"/>
      <c r="H17" s="251"/>
      <c r="I17" s="251"/>
      <c r="J17" s="251"/>
      <c r="K17" s="251"/>
      <c r="L17" s="251"/>
      <c r="M17" s="251"/>
      <c r="N17" s="251"/>
      <c r="O17" s="251"/>
      <c r="P17" s="251"/>
      <c r="Q17" s="881"/>
      <c r="R17" s="882"/>
      <c r="S17" s="882"/>
      <c r="T17" s="883"/>
      <c r="U17" s="970"/>
      <c r="V17" s="971"/>
      <c r="W17" s="971"/>
      <c r="X17" s="971"/>
      <c r="Y17" s="971"/>
      <c r="Z17" s="971"/>
      <c r="AA17" s="971"/>
      <c r="AB17" s="971"/>
      <c r="AC17" s="971"/>
      <c r="AD17" s="971"/>
      <c r="AE17" s="971"/>
      <c r="AF17" s="971"/>
      <c r="AG17" s="971"/>
      <c r="AH17" s="972"/>
    </row>
    <row r="18" spans="1:34" ht="14.1" customHeight="1">
      <c r="A18" s="245"/>
      <c r="B18" s="31"/>
      <c r="C18" s="565"/>
      <c r="D18" s="31"/>
      <c r="E18" s="877" t="str">
        <f>Cover!E27</f>
        <v>1.3 Material check</v>
      </c>
      <c r="F18" s="877"/>
      <c r="G18" s="877"/>
      <c r="H18" s="877"/>
      <c r="I18" s="877"/>
      <c r="J18" s="877"/>
      <c r="K18" s="877"/>
      <c r="L18" s="877"/>
      <c r="M18" s="877"/>
      <c r="N18" s="877"/>
      <c r="O18" s="877"/>
      <c r="P18" s="877"/>
      <c r="Q18" s="884"/>
      <c r="R18" s="885"/>
      <c r="S18" s="885"/>
      <c r="T18" s="886"/>
      <c r="U18" s="973"/>
      <c r="V18" s="974"/>
      <c r="W18" s="974"/>
      <c r="X18" s="974"/>
      <c r="Y18" s="974"/>
      <c r="Z18" s="974"/>
      <c r="AA18" s="974"/>
      <c r="AB18" s="974"/>
      <c r="AC18" s="974"/>
      <c r="AD18" s="974"/>
      <c r="AE18" s="974"/>
      <c r="AF18" s="974"/>
      <c r="AG18" s="974"/>
      <c r="AH18" s="975"/>
    </row>
    <row r="19" spans="1:34" ht="3" customHeight="1">
      <c r="A19" s="247"/>
      <c r="B19" s="248"/>
      <c r="C19" s="611"/>
      <c r="D19" s="248"/>
      <c r="E19" s="252"/>
      <c r="F19" s="252"/>
      <c r="G19" s="252"/>
      <c r="H19" s="252"/>
      <c r="I19" s="252"/>
      <c r="J19" s="252"/>
      <c r="K19" s="252"/>
      <c r="L19" s="252"/>
      <c r="M19" s="252"/>
      <c r="N19" s="252"/>
      <c r="O19" s="252"/>
      <c r="P19" s="252"/>
      <c r="Q19" s="887"/>
      <c r="R19" s="888"/>
      <c r="S19" s="888"/>
      <c r="T19" s="889"/>
      <c r="U19" s="976"/>
      <c r="V19" s="977"/>
      <c r="W19" s="977"/>
      <c r="X19" s="977"/>
      <c r="Y19" s="977"/>
      <c r="Z19" s="977"/>
      <c r="AA19" s="977"/>
      <c r="AB19" s="977"/>
      <c r="AC19" s="977"/>
      <c r="AD19" s="977"/>
      <c r="AE19" s="977"/>
      <c r="AF19" s="977"/>
      <c r="AG19" s="977"/>
      <c r="AH19" s="978"/>
    </row>
    <row r="20" spans="1:34" ht="3" customHeight="1">
      <c r="A20" s="245"/>
      <c r="B20" s="31"/>
      <c r="C20" s="609"/>
      <c r="D20" s="31"/>
      <c r="E20" s="220"/>
      <c r="F20" s="220"/>
      <c r="G20" s="220"/>
      <c r="H20" s="220"/>
      <c r="I20" s="220"/>
      <c r="J20" s="220"/>
      <c r="K20" s="220"/>
      <c r="L20" s="220"/>
      <c r="M20" s="220"/>
      <c r="N20" s="220"/>
      <c r="O20" s="220"/>
      <c r="P20" s="220"/>
      <c r="Q20" s="881"/>
      <c r="R20" s="882"/>
      <c r="S20" s="882"/>
      <c r="T20" s="883"/>
      <c r="U20" s="970"/>
      <c r="V20" s="971"/>
      <c r="W20" s="971"/>
      <c r="X20" s="971"/>
      <c r="Y20" s="971"/>
      <c r="Z20" s="971"/>
      <c r="AA20" s="971"/>
      <c r="AB20" s="971"/>
      <c r="AC20" s="971"/>
      <c r="AD20" s="971"/>
      <c r="AE20" s="971"/>
      <c r="AF20" s="971"/>
      <c r="AG20" s="971"/>
      <c r="AH20" s="972"/>
    </row>
    <row r="21" spans="1:34" ht="14.1" customHeight="1">
      <c r="A21" s="245"/>
      <c r="B21" s="31"/>
      <c r="C21" s="565"/>
      <c r="D21" s="31"/>
      <c r="E21" s="877" t="str">
        <f>Cover!E29</f>
        <v>1.4 Haptics check</v>
      </c>
      <c r="F21" s="877"/>
      <c r="G21" s="877"/>
      <c r="H21" s="877"/>
      <c r="I21" s="877"/>
      <c r="J21" s="877"/>
      <c r="K21" s="877"/>
      <c r="L21" s="877"/>
      <c r="M21" s="877"/>
      <c r="N21" s="877"/>
      <c r="O21" s="877"/>
      <c r="P21" s="877"/>
      <c r="Q21" s="884"/>
      <c r="R21" s="885"/>
      <c r="S21" s="885"/>
      <c r="T21" s="886"/>
      <c r="U21" s="973"/>
      <c r="V21" s="974"/>
      <c r="W21" s="974"/>
      <c r="X21" s="974"/>
      <c r="Y21" s="974"/>
      <c r="Z21" s="974"/>
      <c r="AA21" s="974"/>
      <c r="AB21" s="974"/>
      <c r="AC21" s="974"/>
      <c r="AD21" s="974"/>
      <c r="AE21" s="974"/>
      <c r="AF21" s="974"/>
      <c r="AG21" s="974"/>
      <c r="AH21" s="975"/>
    </row>
    <row r="22" spans="1:34" ht="3" customHeight="1">
      <c r="A22" s="247"/>
      <c r="B22" s="248"/>
      <c r="C22" s="611"/>
      <c r="D22" s="248"/>
      <c r="E22" s="252"/>
      <c r="F22" s="252"/>
      <c r="G22" s="252"/>
      <c r="H22" s="252"/>
      <c r="I22" s="252"/>
      <c r="J22" s="252"/>
      <c r="K22" s="252"/>
      <c r="L22" s="252"/>
      <c r="M22" s="252"/>
      <c r="N22" s="252"/>
      <c r="O22" s="252"/>
      <c r="P22" s="252"/>
      <c r="Q22" s="887"/>
      <c r="R22" s="888"/>
      <c r="S22" s="888"/>
      <c r="T22" s="889"/>
      <c r="U22" s="976"/>
      <c r="V22" s="977"/>
      <c r="W22" s="977"/>
      <c r="X22" s="977"/>
      <c r="Y22" s="977"/>
      <c r="Z22" s="977"/>
      <c r="AA22" s="977"/>
      <c r="AB22" s="977"/>
      <c r="AC22" s="977"/>
      <c r="AD22" s="977"/>
      <c r="AE22" s="977"/>
      <c r="AF22" s="977"/>
      <c r="AG22" s="977"/>
      <c r="AH22" s="978"/>
    </row>
    <row r="23" spans="1:34" ht="3" customHeight="1">
      <c r="A23" s="249"/>
      <c r="B23" s="250"/>
      <c r="C23" s="610"/>
      <c r="D23" s="250"/>
      <c r="E23" s="251"/>
      <c r="F23" s="251"/>
      <c r="G23" s="251"/>
      <c r="H23" s="251"/>
      <c r="I23" s="251"/>
      <c r="J23" s="251"/>
      <c r="K23" s="251"/>
      <c r="L23" s="251"/>
      <c r="M23" s="251"/>
      <c r="N23" s="251"/>
      <c r="O23" s="251"/>
      <c r="P23" s="251"/>
      <c r="Q23" s="881"/>
      <c r="R23" s="882"/>
      <c r="S23" s="882"/>
      <c r="T23" s="883"/>
      <c r="U23" s="970"/>
      <c r="V23" s="971"/>
      <c r="W23" s="971"/>
      <c r="X23" s="971"/>
      <c r="Y23" s="971"/>
      <c r="Z23" s="971"/>
      <c r="AA23" s="971"/>
      <c r="AB23" s="971"/>
      <c r="AC23" s="971"/>
      <c r="AD23" s="971"/>
      <c r="AE23" s="971"/>
      <c r="AF23" s="971"/>
      <c r="AG23" s="971"/>
      <c r="AH23" s="972"/>
    </row>
    <row r="24" spans="1:34" ht="14.1" customHeight="1">
      <c r="A24" s="245"/>
      <c r="B24" s="31"/>
      <c r="C24" s="565"/>
      <c r="D24" s="31"/>
      <c r="E24" s="877" t="str">
        <f>Cover!E31</f>
        <v>1.5 Acoustics check</v>
      </c>
      <c r="F24" s="877"/>
      <c r="G24" s="877"/>
      <c r="H24" s="877"/>
      <c r="I24" s="877"/>
      <c r="J24" s="877"/>
      <c r="K24" s="877"/>
      <c r="L24" s="877"/>
      <c r="M24" s="877"/>
      <c r="N24" s="877"/>
      <c r="O24" s="877"/>
      <c r="P24" s="877"/>
      <c r="Q24" s="884"/>
      <c r="R24" s="885"/>
      <c r="S24" s="885"/>
      <c r="T24" s="886"/>
      <c r="U24" s="973"/>
      <c r="V24" s="974"/>
      <c r="W24" s="974"/>
      <c r="X24" s="974"/>
      <c r="Y24" s="974"/>
      <c r="Z24" s="974"/>
      <c r="AA24" s="974"/>
      <c r="AB24" s="974"/>
      <c r="AC24" s="974"/>
      <c r="AD24" s="974"/>
      <c r="AE24" s="974"/>
      <c r="AF24" s="974"/>
      <c r="AG24" s="974"/>
      <c r="AH24" s="975"/>
    </row>
    <row r="25" spans="1:34" ht="3" customHeight="1">
      <c r="A25" s="247"/>
      <c r="B25" s="248"/>
      <c r="C25" s="611"/>
      <c r="D25" s="248"/>
      <c r="E25" s="252"/>
      <c r="F25" s="252"/>
      <c r="G25" s="252"/>
      <c r="H25" s="252"/>
      <c r="I25" s="252"/>
      <c r="J25" s="252"/>
      <c r="K25" s="252"/>
      <c r="L25" s="252"/>
      <c r="M25" s="252"/>
      <c r="N25" s="252"/>
      <c r="O25" s="252"/>
      <c r="P25" s="252"/>
      <c r="Q25" s="887"/>
      <c r="R25" s="888"/>
      <c r="S25" s="888"/>
      <c r="T25" s="889"/>
      <c r="U25" s="976"/>
      <c r="V25" s="977"/>
      <c r="W25" s="977"/>
      <c r="X25" s="977"/>
      <c r="Y25" s="977"/>
      <c r="Z25" s="977"/>
      <c r="AA25" s="977"/>
      <c r="AB25" s="977"/>
      <c r="AC25" s="977"/>
      <c r="AD25" s="977"/>
      <c r="AE25" s="977"/>
      <c r="AF25" s="977"/>
      <c r="AG25" s="977"/>
      <c r="AH25" s="978"/>
    </row>
    <row r="26" spans="1:34" ht="3" customHeight="1">
      <c r="A26" s="249"/>
      <c r="B26" s="250"/>
      <c r="C26" s="610"/>
      <c r="D26" s="250"/>
      <c r="E26" s="251"/>
      <c r="F26" s="251"/>
      <c r="G26" s="251"/>
      <c r="H26" s="251"/>
      <c r="I26" s="251"/>
      <c r="J26" s="251"/>
      <c r="K26" s="251"/>
      <c r="L26" s="251"/>
      <c r="M26" s="251"/>
      <c r="N26" s="251"/>
      <c r="O26" s="251"/>
      <c r="P26" s="251"/>
      <c r="Q26" s="881"/>
      <c r="R26" s="882"/>
      <c r="S26" s="882"/>
      <c r="T26" s="883"/>
      <c r="U26" s="970"/>
      <c r="V26" s="971"/>
      <c r="W26" s="971"/>
      <c r="X26" s="971"/>
      <c r="Y26" s="971"/>
      <c r="Z26" s="971"/>
      <c r="AA26" s="971"/>
      <c r="AB26" s="971"/>
      <c r="AC26" s="971"/>
      <c r="AD26" s="971"/>
      <c r="AE26" s="971"/>
      <c r="AF26" s="971"/>
      <c r="AG26" s="971"/>
      <c r="AH26" s="972"/>
    </row>
    <row r="27" spans="1:34" ht="14.1" customHeight="1">
      <c r="A27" s="245"/>
      <c r="B27" s="31"/>
      <c r="C27" s="565"/>
      <c r="D27" s="31"/>
      <c r="E27" s="877" t="str">
        <f>Cover!E33</f>
        <v>1.6 Odour check</v>
      </c>
      <c r="F27" s="877"/>
      <c r="G27" s="877"/>
      <c r="H27" s="877"/>
      <c r="I27" s="877"/>
      <c r="J27" s="877"/>
      <c r="K27" s="877"/>
      <c r="L27" s="877"/>
      <c r="M27" s="877"/>
      <c r="N27" s="877"/>
      <c r="O27" s="877"/>
      <c r="P27" s="877"/>
      <c r="Q27" s="884"/>
      <c r="R27" s="885"/>
      <c r="S27" s="885"/>
      <c r="T27" s="886"/>
      <c r="U27" s="973"/>
      <c r="V27" s="974"/>
      <c r="W27" s="974"/>
      <c r="X27" s="974"/>
      <c r="Y27" s="974"/>
      <c r="Z27" s="974"/>
      <c r="AA27" s="974"/>
      <c r="AB27" s="974"/>
      <c r="AC27" s="974"/>
      <c r="AD27" s="974"/>
      <c r="AE27" s="974"/>
      <c r="AF27" s="974"/>
      <c r="AG27" s="974"/>
      <c r="AH27" s="975"/>
    </row>
    <row r="28" spans="1:34" ht="3" customHeight="1">
      <c r="A28" s="247"/>
      <c r="B28" s="248"/>
      <c r="C28" s="611"/>
      <c r="D28" s="248"/>
      <c r="E28" s="252"/>
      <c r="F28" s="252"/>
      <c r="G28" s="252"/>
      <c r="H28" s="252"/>
      <c r="I28" s="252"/>
      <c r="J28" s="252"/>
      <c r="K28" s="252"/>
      <c r="L28" s="252"/>
      <c r="M28" s="252"/>
      <c r="N28" s="252"/>
      <c r="O28" s="252"/>
      <c r="P28" s="252"/>
      <c r="Q28" s="887"/>
      <c r="R28" s="888"/>
      <c r="S28" s="888"/>
      <c r="T28" s="889"/>
      <c r="U28" s="976"/>
      <c r="V28" s="977"/>
      <c r="W28" s="977"/>
      <c r="X28" s="977"/>
      <c r="Y28" s="977"/>
      <c r="Z28" s="977"/>
      <c r="AA28" s="977"/>
      <c r="AB28" s="977"/>
      <c r="AC28" s="977"/>
      <c r="AD28" s="977"/>
      <c r="AE28" s="977"/>
      <c r="AF28" s="977"/>
      <c r="AG28" s="977"/>
      <c r="AH28" s="978"/>
    </row>
    <row r="29" spans="1:34" ht="3" customHeight="1">
      <c r="A29" s="249"/>
      <c r="B29" s="250"/>
      <c r="C29" s="610"/>
      <c r="D29" s="250"/>
      <c r="E29" s="251"/>
      <c r="F29" s="251"/>
      <c r="G29" s="251"/>
      <c r="H29" s="251"/>
      <c r="I29" s="251"/>
      <c r="J29" s="251"/>
      <c r="K29" s="251"/>
      <c r="L29" s="251"/>
      <c r="M29" s="251"/>
      <c r="N29" s="251"/>
      <c r="O29" s="251"/>
      <c r="P29" s="251"/>
      <c r="Q29" s="881"/>
      <c r="R29" s="882"/>
      <c r="S29" s="882"/>
      <c r="T29" s="883"/>
      <c r="U29" s="970"/>
      <c r="V29" s="971"/>
      <c r="W29" s="971"/>
      <c r="X29" s="971"/>
      <c r="Y29" s="971"/>
      <c r="Z29" s="971"/>
      <c r="AA29" s="971"/>
      <c r="AB29" s="971"/>
      <c r="AC29" s="971"/>
      <c r="AD29" s="971"/>
      <c r="AE29" s="971"/>
      <c r="AF29" s="971"/>
      <c r="AG29" s="971"/>
      <c r="AH29" s="972"/>
    </row>
    <row r="30" spans="1:34" ht="14.1" customHeight="1">
      <c r="A30" s="245"/>
      <c r="B30" s="31"/>
      <c r="C30" s="565"/>
      <c r="D30" s="31"/>
      <c r="E30" s="877" t="str">
        <f>Cover!E35</f>
        <v>1.7 Appearance check</v>
      </c>
      <c r="F30" s="877"/>
      <c r="G30" s="877"/>
      <c r="H30" s="877"/>
      <c r="I30" s="877"/>
      <c r="J30" s="877"/>
      <c r="K30" s="877"/>
      <c r="L30" s="877"/>
      <c r="M30" s="877"/>
      <c r="N30" s="877"/>
      <c r="O30" s="877"/>
      <c r="P30" s="877"/>
      <c r="Q30" s="884"/>
      <c r="R30" s="885"/>
      <c r="S30" s="885"/>
      <c r="T30" s="886"/>
      <c r="U30" s="973"/>
      <c r="V30" s="974"/>
      <c r="W30" s="974"/>
      <c r="X30" s="974"/>
      <c r="Y30" s="974"/>
      <c r="Z30" s="974"/>
      <c r="AA30" s="974"/>
      <c r="AB30" s="974"/>
      <c r="AC30" s="974"/>
      <c r="AD30" s="974"/>
      <c r="AE30" s="974"/>
      <c r="AF30" s="974"/>
      <c r="AG30" s="974"/>
      <c r="AH30" s="975"/>
    </row>
    <row r="31" spans="1:34" ht="3" customHeight="1">
      <c r="A31" s="247"/>
      <c r="B31" s="248"/>
      <c r="C31" s="611"/>
      <c r="D31" s="248"/>
      <c r="E31" s="252"/>
      <c r="F31" s="252"/>
      <c r="G31" s="252"/>
      <c r="H31" s="252"/>
      <c r="I31" s="252"/>
      <c r="J31" s="252"/>
      <c r="K31" s="252"/>
      <c r="L31" s="252"/>
      <c r="M31" s="252"/>
      <c r="N31" s="252"/>
      <c r="O31" s="252"/>
      <c r="P31" s="252"/>
      <c r="Q31" s="887"/>
      <c r="R31" s="888"/>
      <c r="S31" s="888"/>
      <c r="T31" s="889"/>
      <c r="U31" s="976"/>
      <c r="V31" s="977"/>
      <c r="W31" s="977"/>
      <c r="X31" s="977"/>
      <c r="Y31" s="977"/>
      <c r="Z31" s="977"/>
      <c r="AA31" s="977"/>
      <c r="AB31" s="977"/>
      <c r="AC31" s="977"/>
      <c r="AD31" s="977"/>
      <c r="AE31" s="977"/>
      <c r="AF31" s="977"/>
      <c r="AG31" s="977"/>
      <c r="AH31" s="978"/>
    </row>
    <row r="32" spans="1:34" ht="3" customHeight="1">
      <c r="A32" s="249"/>
      <c r="B32" s="250"/>
      <c r="C32" s="610"/>
      <c r="D32" s="250"/>
      <c r="E32" s="251"/>
      <c r="F32" s="251"/>
      <c r="G32" s="251"/>
      <c r="H32" s="251"/>
      <c r="I32" s="251"/>
      <c r="J32" s="251"/>
      <c r="K32" s="251"/>
      <c r="L32" s="251"/>
      <c r="M32" s="251"/>
      <c r="N32" s="251"/>
      <c r="O32" s="251"/>
      <c r="P32" s="251"/>
      <c r="Q32" s="881"/>
      <c r="R32" s="882"/>
      <c r="S32" s="882"/>
      <c r="T32" s="883"/>
      <c r="U32" s="970"/>
      <c r="V32" s="971"/>
      <c r="W32" s="971"/>
      <c r="X32" s="971"/>
      <c r="Y32" s="971"/>
      <c r="Z32" s="971"/>
      <c r="AA32" s="971"/>
      <c r="AB32" s="971"/>
      <c r="AC32" s="971"/>
      <c r="AD32" s="971"/>
      <c r="AE32" s="971"/>
      <c r="AF32" s="971"/>
      <c r="AG32" s="971"/>
      <c r="AH32" s="972"/>
    </row>
    <row r="33" spans="1:34" ht="13.5" customHeight="1">
      <c r="A33" s="245"/>
      <c r="B33" s="31"/>
      <c r="C33" s="565"/>
      <c r="D33" s="31"/>
      <c r="E33" s="877" t="str">
        <f>Cover!E37</f>
        <v>1.8 Surface check</v>
      </c>
      <c r="F33" s="877"/>
      <c r="G33" s="877"/>
      <c r="H33" s="877"/>
      <c r="I33" s="877"/>
      <c r="J33" s="877"/>
      <c r="K33" s="877"/>
      <c r="L33" s="877"/>
      <c r="M33" s="877"/>
      <c r="N33" s="877"/>
      <c r="O33" s="877"/>
      <c r="P33" s="877"/>
      <c r="Q33" s="884"/>
      <c r="R33" s="885"/>
      <c r="S33" s="885"/>
      <c r="T33" s="886"/>
      <c r="U33" s="973"/>
      <c r="V33" s="974"/>
      <c r="W33" s="974"/>
      <c r="X33" s="974"/>
      <c r="Y33" s="974"/>
      <c r="Z33" s="974"/>
      <c r="AA33" s="974"/>
      <c r="AB33" s="974"/>
      <c r="AC33" s="974"/>
      <c r="AD33" s="974"/>
      <c r="AE33" s="974"/>
      <c r="AF33" s="974"/>
      <c r="AG33" s="974"/>
      <c r="AH33" s="975"/>
    </row>
    <row r="34" spans="1:34" ht="3" customHeight="1">
      <c r="A34" s="247"/>
      <c r="B34" s="248"/>
      <c r="C34" s="611"/>
      <c r="D34" s="248"/>
      <c r="E34" s="252"/>
      <c r="F34" s="252"/>
      <c r="G34" s="252"/>
      <c r="H34" s="252"/>
      <c r="I34" s="252"/>
      <c r="J34" s="252"/>
      <c r="K34" s="252"/>
      <c r="L34" s="252"/>
      <c r="M34" s="252"/>
      <c r="N34" s="252"/>
      <c r="O34" s="252"/>
      <c r="P34" s="252"/>
      <c r="Q34" s="887"/>
      <c r="R34" s="888"/>
      <c r="S34" s="888"/>
      <c r="T34" s="889"/>
      <c r="U34" s="976"/>
      <c r="V34" s="977"/>
      <c r="W34" s="977"/>
      <c r="X34" s="977"/>
      <c r="Y34" s="977"/>
      <c r="Z34" s="977"/>
      <c r="AA34" s="977"/>
      <c r="AB34" s="977"/>
      <c r="AC34" s="977"/>
      <c r="AD34" s="977"/>
      <c r="AE34" s="977"/>
      <c r="AF34" s="977"/>
      <c r="AG34" s="977"/>
      <c r="AH34" s="978"/>
    </row>
    <row r="35" spans="1:34" ht="3" customHeight="1">
      <c r="A35" s="249"/>
      <c r="B35" s="250"/>
      <c r="C35" s="610"/>
      <c r="D35" s="250"/>
      <c r="E35" s="251"/>
      <c r="F35" s="251"/>
      <c r="G35" s="251"/>
      <c r="H35" s="251"/>
      <c r="I35" s="251"/>
      <c r="J35" s="251"/>
      <c r="K35" s="251"/>
      <c r="L35" s="251"/>
      <c r="M35" s="251"/>
      <c r="N35" s="251"/>
      <c r="O35" s="251"/>
      <c r="P35" s="251"/>
      <c r="Q35" s="881"/>
      <c r="R35" s="882"/>
      <c r="S35" s="882"/>
      <c r="T35" s="883"/>
      <c r="U35" s="970"/>
      <c r="V35" s="971"/>
      <c r="W35" s="971"/>
      <c r="X35" s="971"/>
      <c r="Y35" s="971"/>
      <c r="Z35" s="971"/>
      <c r="AA35" s="971"/>
      <c r="AB35" s="971"/>
      <c r="AC35" s="971"/>
      <c r="AD35" s="971"/>
      <c r="AE35" s="971"/>
      <c r="AF35" s="971"/>
      <c r="AG35" s="971"/>
      <c r="AH35" s="972"/>
    </row>
    <row r="36" spans="1:34" ht="14.1" customHeight="1">
      <c r="A36" s="245"/>
      <c r="B36" s="31"/>
      <c r="C36" s="565"/>
      <c r="D36" s="31"/>
      <c r="E36" s="877" t="str">
        <f>Cover!M23</f>
        <v>1.9 ESD test</v>
      </c>
      <c r="F36" s="877"/>
      <c r="G36" s="877"/>
      <c r="H36" s="877"/>
      <c r="I36" s="877"/>
      <c r="J36" s="877"/>
      <c r="K36" s="877"/>
      <c r="L36" s="877"/>
      <c r="M36" s="877"/>
      <c r="N36" s="877"/>
      <c r="O36" s="877"/>
      <c r="P36" s="877"/>
      <c r="Q36" s="884"/>
      <c r="R36" s="885"/>
      <c r="S36" s="885"/>
      <c r="T36" s="886"/>
      <c r="U36" s="973"/>
      <c r="V36" s="974"/>
      <c r="W36" s="974"/>
      <c r="X36" s="974"/>
      <c r="Y36" s="974"/>
      <c r="Z36" s="974"/>
      <c r="AA36" s="974"/>
      <c r="AB36" s="974"/>
      <c r="AC36" s="974"/>
      <c r="AD36" s="974"/>
      <c r="AE36" s="974"/>
      <c r="AF36" s="974"/>
      <c r="AG36" s="974"/>
      <c r="AH36" s="975"/>
    </row>
    <row r="37" spans="1:34" ht="3" customHeight="1">
      <c r="A37" s="247"/>
      <c r="B37" s="248"/>
      <c r="C37" s="611"/>
      <c r="D37" s="248"/>
      <c r="E37" s="252"/>
      <c r="F37" s="252"/>
      <c r="G37" s="252"/>
      <c r="H37" s="252"/>
      <c r="I37" s="252"/>
      <c r="J37" s="252"/>
      <c r="K37" s="252"/>
      <c r="L37" s="252"/>
      <c r="M37" s="252"/>
      <c r="N37" s="252"/>
      <c r="O37" s="252"/>
      <c r="P37" s="252"/>
      <c r="Q37" s="887"/>
      <c r="R37" s="888"/>
      <c r="S37" s="888"/>
      <c r="T37" s="889"/>
      <c r="U37" s="976"/>
      <c r="V37" s="977"/>
      <c r="W37" s="977"/>
      <c r="X37" s="977"/>
      <c r="Y37" s="977"/>
      <c r="Z37" s="977"/>
      <c r="AA37" s="977"/>
      <c r="AB37" s="977"/>
      <c r="AC37" s="977"/>
      <c r="AD37" s="977"/>
      <c r="AE37" s="977"/>
      <c r="AF37" s="977"/>
      <c r="AG37" s="977"/>
      <c r="AH37" s="978"/>
    </row>
    <row r="38" spans="1:34" ht="3" customHeight="1">
      <c r="A38" s="249"/>
      <c r="B38" s="250"/>
      <c r="C38" s="610"/>
      <c r="D38" s="250"/>
      <c r="E38" s="251"/>
      <c r="F38" s="251"/>
      <c r="G38" s="251"/>
      <c r="H38" s="251"/>
      <c r="I38" s="251"/>
      <c r="J38" s="251"/>
      <c r="K38" s="251"/>
      <c r="L38" s="251"/>
      <c r="M38" s="251"/>
      <c r="N38" s="251"/>
      <c r="O38" s="251"/>
      <c r="P38" s="251"/>
      <c r="Q38" s="881"/>
      <c r="R38" s="882"/>
      <c r="S38" s="882"/>
      <c r="T38" s="883"/>
      <c r="U38" s="970"/>
      <c r="V38" s="971"/>
      <c r="W38" s="971"/>
      <c r="X38" s="971"/>
      <c r="Y38" s="971"/>
      <c r="Z38" s="971"/>
      <c r="AA38" s="971"/>
      <c r="AB38" s="971"/>
      <c r="AC38" s="971"/>
      <c r="AD38" s="971"/>
      <c r="AE38" s="971"/>
      <c r="AF38" s="971"/>
      <c r="AG38" s="971"/>
      <c r="AH38" s="972"/>
    </row>
    <row r="39" spans="1:34" ht="14.1" customHeight="1">
      <c r="A39" s="245"/>
      <c r="B39" s="31"/>
      <c r="C39" s="565"/>
      <c r="D39" s="31"/>
      <c r="E39" s="877" t="str">
        <f>Cover!M25</f>
        <v>1.10 Reliability tests</v>
      </c>
      <c r="F39" s="877"/>
      <c r="G39" s="877"/>
      <c r="H39" s="877"/>
      <c r="I39" s="877"/>
      <c r="J39" s="877"/>
      <c r="K39" s="877"/>
      <c r="L39" s="877"/>
      <c r="M39" s="877"/>
      <c r="N39" s="877"/>
      <c r="O39" s="877"/>
      <c r="P39" s="877"/>
      <c r="Q39" s="884"/>
      <c r="R39" s="885"/>
      <c r="S39" s="885"/>
      <c r="T39" s="886"/>
      <c r="U39" s="973"/>
      <c r="V39" s="974"/>
      <c r="W39" s="974"/>
      <c r="X39" s="974"/>
      <c r="Y39" s="974"/>
      <c r="Z39" s="974"/>
      <c r="AA39" s="974"/>
      <c r="AB39" s="974"/>
      <c r="AC39" s="974"/>
      <c r="AD39" s="974"/>
      <c r="AE39" s="974"/>
      <c r="AF39" s="974"/>
      <c r="AG39" s="974"/>
      <c r="AH39" s="975"/>
    </row>
    <row r="40" spans="1:34" ht="3" customHeight="1">
      <c r="A40" s="247"/>
      <c r="B40" s="248"/>
      <c r="C40" s="611"/>
      <c r="D40" s="248"/>
      <c r="E40" s="252"/>
      <c r="F40" s="252"/>
      <c r="G40" s="252"/>
      <c r="H40" s="252"/>
      <c r="I40" s="252"/>
      <c r="J40" s="252"/>
      <c r="K40" s="252"/>
      <c r="L40" s="252"/>
      <c r="M40" s="252"/>
      <c r="N40" s="252"/>
      <c r="O40" s="252"/>
      <c r="P40" s="252"/>
      <c r="Q40" s="887"/>
      <c r="R40" s="888"/>
      <c r="S40" s="888"/>
      <c r="T40" s="889"/>
      <c r="U40" s="976"/>
      <c r="V40" s="977"/>
      <c r="W40" s="977"/>
      <c r="X40" s="977"/>
      <c r="Y40" s="977"/>
      <c r="Z40" s="977"/>
      <c r="AA40" s="977"/>
      <c r="AB40" s="977"/>
      <c r="AC40" s="977"/>
      <c r="AD40" s="977"/>
      <c r="AE40" s="977"/>
      <c r="AF40" s="977"/>
      <c r="AG40" s="977"/>
      <c r="AH40" s="978"/>
    </row>
    <row r="41" spans="1:34" ht="3" customHeight="1">
      <c r="A41" s="249"/>
      <c r="B41" s="250"/>
      <c r="C41" s="610"/>
      <c r="D41" s="250"/>
      <c r="E41" s="251"/>
      <c r="F41" s="251"/>
      <c r="G41" s="251"/>
      <c r="H41" s="251"/>
      <c r="I41" s="251"/>
      <c r="J41" s="251"/>
      <c r="K41" s="251"/>
      <c r="L41" s="251"/>
      <c r="M41" s="251"/>
      <c r="N41" s="251"/>
      <c r="O41" s="251"/>
      <c r="P41" s="251"/>
      <c r="Q41" s="881"/>
      <c r="R41" s="882"/>
      <c r="S41" s="882"/>
      <c r="T41" s="883"/>
      <c r="U41" s="970"/>
      <c r="V41" s="971"/>
      <c r="W41" s="971"/>
      <c r="X41" s="971"/>
      <c r="Y41" s="971"/>
      <c r="Z41" s="971"/>
      <c r="AA41" s="971"/>
      <c r="AB41" s="971"/>
      <c r="AC41" s="971"/>
      <c r="AD41" s="971"/>
      <c r="AE41" s="971"/>
      <c r="AF41" s="971"/>
      <c r="AG41" s="971"/>
      <c r="AH41" s="972"/>
    </row>
    <row r="42" spans="1:34" ht="14.1" customHeight="1">
      <c r="A42" s="245"/>
      <c r="B42" s="31"/>
      <c r="C42" s="565"/>
      <c r="D42" s="31"/>
      <c r="E42" s="877" t="str">
        <f>Cover!M27</f>
        <v>2 Samples</v>
      </c>
      <c r="F42" s="877"/>
      <c r="G42" s="877"/>
      <c r="H42" s="877"/>
      <c r="I42" s="877"/>
      <c r="J42" s="877"/>
      <c r="K42" s="877"/>
      <c r="L42" s="877"/>
      <c r="M42" s="877"/>
      <c r="N42" s="877"/>
      <c r="O42" s="877"/>
      <c r="P42" s="877"/>
      <c r="Q42" s="884"/>
      <c r="R42" s="885"/>
      <c r="S42" s="885"/>
      <c r="T42" s="886"/>
      <c r="U42" s="973"/>
      <c r="V42" s="974"/>
      <c r="W42" s="974"/>
      <c r="X42" s="974"/>
      <c r="Y42" s="974"/>
      <c r="Z42" s="974"/>
      <c r="AA42" s="974"/>
      <c r="AB42" s="974"/>
      <c r="AC42" s="974"/>
      <c r="AD42" s="974"/>
      <c r="AE42" s="974"/>
      <c r="AF42" s="974"/>
      <c r="AG42" s="974"/>
      <c r="AH42" s="975"/>
    </row>
    <row r="43" spans="1:34" ht="3" customHeight="1">
      <c r="A43" s="247"/>
      <c r="B43" s="248"/>
      <c r="C43" s="611"/>
      <c r="D43" s="248"/>
      <c r="E43" s="252"/>
      <c r="F43" s="252"/>
      <c r="G43" s="252"/>
      <c r="H43" s="252"/>
      <c r="I43" s="252"/>
      <c r="J43" s="252"/>
      <c r="K43" s="252"/>
      <c r="L43" s="252"/>
      <c r="M43" s="252"/>
      <c r="N43" s="252"/>
      <c r="O43" s="252"/>
      <c r="P43" s="252"/>
      <c r="Q43" s="887"/>
      <c r="R43" s="888"/>
      <c r="S43" s="888"/>
      <c r="T43" s="889"/>
      <c r="U43" s="976"/>
      <c r="V43" s="977"/>
      <c r="W43" s="977"/>
      <c r="X43" s="977"/>
      <c r="Y43" s="977"/>
      <c r="Z43" s="977"/>
      <c r="AA43" s="977"/>
      <c r="AB43" s="977"/>
      <c r="AC43" s="977"/>
      <c r="AD43" s="977"/>
      <c r="AE43" s="977"/>
      <c r="AF43" s="977"/>
      <c r="AG43" s="977"/>
      <c r="AH43" s="978"/>
    </row>
    <row r="44" spans="1:34" ht="3" customHeight="1">
      <c r="A44" s="249"/>
      <c r="B44" s="250"/>
      <c r="C44" s="610"/>
      <c r="D44" s="250"/>
      <c r="E44" s="251"/>
      <c r="F44" s="251"/>
      <c r="G44" s="251"/>
      <c r="H44" s="251"/>
      <c r="I44" s="251"/>
      <c r="J44" s="251"/>
      <c r="K44" s="251"/>
      <c r="L44" s="251"/>
      <c r="M44" s="251"/>
      <c r="N44" s="251"/>
      <c r="O44" s="251"/>
      <c r="P44" s="251"/>
      <c r="Q44" s="881"/>
      <c r="R44" s="882"/>
      <c r="S44" s="882"/>
      <c r="T44" s="883"/>
      <c r="U44" s="970"/>
      <c r="V44" s="971"/>
      <c r="W44" s="971"/>
      <c r="X44" s="971"/>
      <c r="Y44" s="971"/>
      <c r="Z44" s="971"/>
      <c r="AA44" s="971"/>
      <c r="AB44" s="971"/>
      <c r="AC44" s="971"/>
      <c r="AD44" s="971"/>
      <c r="AE44" s="971"/>
      <c r="AF44" s="971"/>
      <c r="AG44" s="971"/>
      <c r="AH44" s="972"/>
    </row>
    <row r="45" spans="1:34" ht="14.1" customHeight="1">
      <c r="A45" s="245"/>
      <c r="B45" s="31"/>
      <c r="C45" s="565"/>
      <c r="D45" s="31"/>
      <c r="E45" s="877" t="str">
        <f>Cover!M29</f>
        <v>3 Technical specifications</v>
      </c>
      <c r="F45" s="877"/>
      <c r="G45" s="877"/>
      <c r="H45" s="877"/>
      <c r="I45" s="877"/>
      <c r="J45" s="877"/>
      <c r="K45" s="877"/>
      <c r="L45" s="877"/>
      <c r="M45" s="877"/>
      <c r="N45" s="877"/>
      <c r="O45" s="877"/>
      <c r="P45" s="877"/>
      <c r="Q45" s="884"/>
      <c r="R45" s="885"/>
      <c r="S45" s="885"/>
      <c r="T45" s="886"/>
      <c r="U45" s="973"/>
      <c r="V45" s="974"/>
      <c r="W45" s="974"/>
      <c r="X45" s="974"/>
      <c r="Y45" s="974"/>
      <c r="Z45" s="974"/>
      <c r="AA45" s="974"/>
      <c r="AB45" s="974"/>
      <c r="AC45" s="974"/>
      <c r="AD45" s="974"/>
      <c r="AE45" s="974"/>
      <c r="AF45" s="974"/>
      <c r="AG45" s="974"/>
      <c r="AH45" s="975"/>
    </row>
    <row r="46" spans="1:34" ht="3" customHeight="1">
      <c r="A46" s="247"/>
      <c r="B46" s="248"/>
      <c r="C46" s="611"/>
      <c r="D46" s="248"/>
      <c r="E46" s="252"/>
      <c r="F46" s="252"/>
      <c r="G46" s="252"/>
      <c r="H46" s="252"/>
      <c r="I46" s="252"/>
      <c r="J46" s="252"/>
      <c r="K46" s="252"/>
      <c r="L46" s="252"/>
      <c r="M46" s="252"/>
      <c r="N46" s="252"/>
      <c r="O46" s="252"/>
      <c r="P46" s="252"/>
      <c r="Q46" s="887"/>
      <c r="R46" s="888"/>
      <c r="S46" s="888"/>
      <c r="T46" s="889"/>
      <c r="U46" s="976"/>
      <c r="V46" s="977"/>
      <c r="W46" s="977"/>
      <c r="X46" s="977"/>
      <c r="Y46" s="977"/>
      <c r="Z46" s="977"/>
      <c r="AA46" s="977"/>
      <c r="AB46" s="977"/>
      <c r="AC46" s="977"/>
      <c r="AD46" s="977"/>
      <c r="AE46" s="977"/>
      <c r="AF46" s="977"/>
      <c r="AG46" s="977"/>
      <c r="AH46" s="978"/>
    </row>
    <row r="47" spans="1:34" ht="3" customHeight="1">
      <c r="A47" s="249"/>
      <c r="B47" s="250"/>
      <c r="C47" s="610"/>
      <c r="D47" s="250"/>
      <c r="E47" s="251"/>
      <c r="F47" s="251"/>
      <c r="G47" s="251"/>
      <c r="H47" s="251"/>
      <c r="I47" s="251"/>
      <c r="J47" s="251"/>
      <c r="K47" s="251"/>
      <c r="L47" s="251"/>
      <c r="M47" s="251"/>
      <c r="N47" s="251"/>
      <c r="O47" s="251"/>
      <c r="P47" s="251"/>
      <c r="Q47" s="881"/>
      <c r="R47" s="882"/>
      <c r="S47" s="882"/>
      <c r="T47" s="883"/>
      <c r="U47" s="970"/>
      <c r="V47" s="971"/>
      <c r="W47" s="971"/>
      <c r="X47" s="971"/>
      <c r="Y47" s="971"/>
      <c r="Z47" s="971"/>
      <c r="AA47" s="971"/>
      <c r="AB47" s="971"/>
      <c r="AC47" s="971"/>
      <c r="AD47" s="971"/>
      <c r="AE47" s="971"/>
      <c r="AF47" s="971"/>
      <c r="AG47" s="971"/>
      <c r="AH47" s="972"/>
    </row>
    <row r="48" spans="1:34" ht="14.1" customHeight="1">
      <c r="A48" s="245"/>
      <c r="B48" s="31"/>
      <c r="C48" s="565"/>
      <c r="D48" s="31"/>
      <c r="E48" s="877" t="str">
        <f>Cover!M31</f>
        <v>4 Product – FMEA</v>
      </c>
      <c r="F48" s="877"/>
      <c r="G48" s="877"/>
      <c r="H48" s="877"/>
      <c r="I48" s="877"/>
      <c r="J48" s="877"/>
      <c r="K48" s="877"/>
      <c r="L48" s="877"/>
      <c r="M48" s="877"/>
      <c r="N48" s="877"/>
      <c r="O48" s="877"/>
      <c r="P48" s="877"/>
      <c r="Q48" s="884"/>
      <c r="R48" s="885"/>
      <c r="S48" s="885"/>
      <c r="T48" s="886"/>
      <c r="U48" s="973"/>
      <c r="V48" s="974"/>
      <c r="W48" s="974"/>
      <c r="X48" s="974"/>
      <c r="Y48" s="974"/>
      <c r="Z48" s="974"/>
      <c r="AA48" s="974"/>
      <c r="AB48" s="974"/>
      <c r="AC48" s="974"/>
      <c r="AD48" s="974"/>
      <c r="AE48" s="974"/>
      <c r="AF48" s="974"/>
      <c r="AG48" s="974"/>
      <c r="AH48" s="975"/>
    </row>
    <row r="49" spans="1:34" ht="3" customHeight="1">
      <c r="A49" s="247"/>
      <c r="B49" s="248"/>
      <c r="C49" s="611"/>
      <c r="D49" s="248"/>
      <c r="E49" s="252"/>
      <c r="F49" s="252"/>
      <c r="G49" s="252"/>
      <c r="H49" s="252"/>
      <c r="I49" s="252"/>
      <c r="J49" s="252"/>
      <c r="K49" s="252"/>
      <c r="L49" s="252"/>
      <c r="M49" s="252"/>
      <c r="N49" s="252"/>
      <c r="O49" s="252"/>
      <c r="P49" s="252"/>
      <c r="Q49" s="887"/>
      <c r="R49" s="888"/>
      <c r="S49" s="888"/>
      <c r="T49" s="889"/>
      <c r="U49" s="976"/>
      <c r="V49" s="977"/>
      <c r="W49" s="977"/>
      <c r="X49" s="977"/>
      <c r="Y49" s="977"/>
      <c r="Z49" s="977"/>
      <c r="AA49" s="977"/>
      <c r="AB49" s="977"/>
      <c r="AC49" s="977"/>
      <c r="AD49" s="977"/>
      <c r="AE49" s="977"/>
      <c r="AF49" s="977"/>
      <c r="AG49" s="977"/>
      <c r="AH49" s="978"/>
    </row>
    <row r="50" spans="1:34" ht="3" customHeight="1">
      <c r="A50" s="249"/>
      <c r="B50" s="250"/>
      <c r="C50" s="610"/>
      <c r="D50" s="250"/>
      <c r="E50" s="251"/>
      <c r="F50" s="251"/>
      <c r="G50" s="251"/>
      <c r="H50" s="251"/>
      <c r="I50" s="251"/>
      <c r="J50" s="251"/>
      <c r="K50" s="251"/>
      <c r="L50" s="251"/>
      <c r="M50" s="251"/>
      <c r="N50" s="251"/>
      <c r="O50" s="251"/>
      <c r="P50" s="251"/>
      <c r="Q50" s="881"/>
      <c r="R50" s="882"/>
      <c r="S50" s="882"/>
      <c r="T50" s="883"/>
      <c r="U50" s="970"/>
      <c r="V50" s="971"/>
      <c r="W50" s="971"/>
      <c r="X50" s="971"/>
      <c r="Y50" s="971"/>
      <c r="Z50" s="971"/>
      <c r="AA50" s="971"/>
      <c r="AB50" s="971"/>
      <c r="AC50" s="971"/>
      <c r="AD50" s="971"/>
      <c r="AE50" s="971"/>
      <c r="AF50" s="971"/>
      <c r="AG50" s="971"/>
      <c r="AH50" s="972"/>
    </row>
    <row r="51" spans="1:34" ht="14.1" customHeight="1">
      <c r="A51" s="245"/>
      <c r="B51" s="31"/>
      <c r="C51" s="565"/>
      <c r="D51" s="31"/>
      <c r="E51" s="877" t="str">
        <f>Cover!M33</f>
        <v>5 Design release</v>
      </c>
      <c r="F51" s="877"/>
      <c r="G51" s="877"/>
      <c r="H51" s="877"/>
      <c r="I51" s="877"/>
      <c r="J51" s="877"/>
      <c r="K51" s="877"/>
      <c r="L51" s="877"/>
      <c r="M51" s="877"/>
      <c r="N51" s="877"/>
      <c r="O51" s="877"/>
      <c r="P51" s="877"/>
      <c r="Q51" s="884"/>
      <c r="R51" s="885"/>
      <c r="S51" s="885"/>
      <c r="T51" s="886"/>
      <c r="U51" s="973"/>
      <c r="V51" s="974"/>
      <c r="W51" s="974"/>
      <c r="X51" s="974"/>
      <c r="Y51" s="974"/>
      <c r="Z51" s="974"/>
      <c r="AA51" s="974"/>
      <c r="AB51" s="974"/>
      <c r="AC51" s="974"/>
      <c r="AD51" s="974"/>
      <c r="AE51" s="974"/>
      <c r="AF51" s="974"/>
      <c r="AG51" s="974"/>
      <c r="AH51" s="975"/>
    </row>
    <row r="52" spans="1:34" ht="3" customHeight="1">
      <c r="A52" s="247"/>
      <c r="B52" s="248"/>
      <c r="C52" s="611"/>
      <c r="D52" s="248"/>
      <c r="E52" s="252"/>
      <c r="F52" s="252"/>
      <c r="G52" s="252"/>
      <c r="H52" s="252"/>
      <c r="I52" s="252"/>
      <c r="J52" s="252"/>
      <c r="K52" s="252"/>
      <c r="L52" s="252"/>
      <c r="M52" s="252"/>
      <c r="N52" s="252"/>
      <c r="O52" s="252"/>
      <c r="P52" s="252"/>
      <c r="Q52" s="887"/>
      <c r="R52" s="888"/>
      <c r="S52" s="888"/>
      <c r="T52" s="889"/>
      <c r="U52" s="976"/>
      <c r="V52" s="977"/>
      <c r="W52" s="977"/>
      <c r="X52" s="977"/>
      <c r="Y52" s="977"/>
      <c r="Z52" s="977"/>
      <c r="AA52" s="977"/>
      <c r="AB52" s="977"/>
      <c r="AC52" s="977"/>
      <c r="AD52" s="977"/>
      <c r="AE52" s="977"/>
      <c r="AF52" s="977"/>
      <c r="AG52" s="977"/>
      <c r="AH52" s="978"/>
    </row>
    <row r="53" spans="1:34" ht="3" customHeight="1">
      <c r="A53" s="249"/>
      <c r="B53" s="250"/>
      <c r="C53" s="610"/>
      <c r="D53" s="250"/>
      <c r="E53" s="251"/>
      <c r="F53" s="251"/>
      <c r="G53" s="251"/>
      <c r="H53" s="251"/>
      <c r="I53" s="251"/>
      <c r="J53" s="251"/>
      <c r="K53" s="251"/>
      <c r="L53" s="251"/>
      <c r="M53" s="251"/>
      <c r="N53" s="251"/>
      <c r="O53" s="251"/>
      <c r="P53" s="251"/>
      <c r="Q53" s="881"/>
      <c r="R53" s="882"/>
      <c r="S53" s="882"/>
      <c r="T53" s="883"/>
      <c r="U53" s="970"/>
      <c r="V53" s="971"/>
      <c r="W53" s="971"/>
      <c r="X53" s="971"/>
      <c r="Y53" s="971"/>
      <c r="Z53" s="971"/>
      <c r="AA53" s="971"/>
      <c r="AB53" s="971"/>
      <c r="AC53" s="971"/>
      <c r="AD53" s="971"/>
      <c r="AE53" s="971"/>
      <c r="AF53" s="971"/>
      <c r="AG53" s="971"/>
      <c r="AH53" s="972"/>
    </row>
    <row r="54" spans="1:34" ht="14.1" customHeight="1">
      <c r="A54" s="245"/>
      <c r="B54" s="31"/>
      <c r="C54" s="565"/>
      <c r="D54" s="31"/>
      <c r="E54" s="877" t="str">
        <f>Cover!M35</f>
        <v>6 Compliance with legal requirements</v>
      </c>
      <c r="F54" s="877"/>
      <c r="G54" s="877"/>
      <c r="H54" s="877"/>
      <c r="I54" s="877"/>
      <c r="J54" s="877"/>
      <c r="K54" s="877"/>
      <c r="L54" s="877"/>
      <c r="M54" s="877"/>
      <c r="N54" s="877"/>
      <c r="O54" s="877"/>
      <c r="P54" s="877"/>
      <c r="Q54" s="884"/>
      <c r="R54" s="885"/>
      <c r="S54" s="885"/>
      <c r="T54" s="886"/>
      <c r="U54" s="973"/>
      <c r="V54" s="974"/>
      <c r="W54" s="974"/>
      <c r="X54" s="974"/>
      <c r="Y54" s="974"/>
      <c r="Z54" s="974"/>
      <c r="AA54" s="974"/>
      <c r="AB54" s="974"/>
      <c r="AC54" s="974"/>
      <c r="AD54" s="974"/>
      <c r="AE54" s="974"/>
      <c r="AF54" s="974"/>
      <c r="AG54" s="974"/>
      <c r="AH54" s="975"/>
    </row>
    <row r="55" spans="1:34" ht="3" customHeight="1">
      <c r="A55" s="247"/>
      <c r="B55" s="248"/>
      <c r="C55" s="611"/>
      <c r="D55" s="248"/>
      <c r="E55" s="252"/>
      <c r="F55" s="252"/>
      <c r="G55" s="252"/>
      <c r="H55" s="252"/>
      <c r="I55" s="252"/>
      <c r="J55" s="252"/>
      <c r="K55" s="252"/>
      <c r="L55" s="252"/>
      <c r="M55" s="252"/>
      <c r="N55" s="252"/>
      <c r="O55" s="252"/>
      <c r="P55" s="252"/>
      <c r="Q55" s="887"/>
      <c r="R55" s="888"/>
      <c r="S55" s="888"/>
      <c r="T55" s="889"/>
      <c r="U55" s="976"/>
      <c r="V55" s="977"/>
      <c r="W55" s="977"/>
      <c r="X55" s="977"/>
      <c r="Y55" s="977"/>
      <c r="Z55" s="977"/>
      <c r="AA55" s="977"/>
      <c r="AB55" s="977"/>
      <c r="AC55" s="977"/>
      <c r="AD55" s="977"/>
      <c r="AE55" s="977"/>
      <c r="AF55" s="977"/>
      <c r="AG55" s="977"/>
      <c r="AH55" s="978"/>
    </row>
    <row r="56" spans="1:34" ht="3" customHeight="1">
      <c r="A56" s="249"/>
      <c r="B56" s="250"/>
      <c r="C56" s="610"/>
      <c r="D56" s="250"/>
      <c r="E56" s="251"/>
      <c r="F56" s="251"/>
      <c r="G56" s="251"/>
      <c r="H56" s="251"/>
      <c r="I56" s="251"/>
      <c r="J56" s="251"/>
      <c r="K56" s="251"/>
      <c r="L56" s="251"/>
      <c r="M56" s="251"/>
      <c r="N56" s="251"/>
      <c r="O56" s="251"/>
      <c r="P56" s="251"/>
      <c r="Q56" s="881"/>
      <c r="R56" s="882"/>
      <c r="S56" s="882"/>
      <c r="T56" s="883"/>
      <c r="U56" s="970"/>
      <c r="V56" s="971"/>
      <c r="W56" s="971"/>
      <c r="X56" s="971"/>
      <c r="Y56" s="971"/>
      <c r="Z56" s="971"/>
      <c r="AA56" s="971"/>
      <c r="AB56" s="971"/>
      <c r="AC56" s="971"/>
      <c r="AD56" s="971"/>
      <c r="AE56" s="971"/>
      <c r="AF56" s="971"/>
      <c r="AG56" s="971"/>
      <c r="AH56" s="972"/>
    </row>
    <row r="57" spans="1:34" ht="14.1" customHeight="1">
      <c r="A57" s="245"/>
      <c r="B57" s="31"/>
      <c r="C57" s="565"/>
      <c r="D57" s="31"/>
      <c r="E57" s="877" t="str">
        <f>Cover!M37</f>
        <v>7 Material data sheet / IMDS</v>
      </c>
      <c r="F57" s="877"/>
      <c r="G57" s="877"/>
      <c r="H57" s="877"/>
      <c r="I57" s="877"/>
      <c r="J57" s="877"/>
      <c r="K57" s="877"/>
      <c r="L57" s="877"/>
      <c r="M57" s="877"/>
      <c r="N57" s="877"/>
      <c r="O57" s="877"/>
      <c r="P57" s="877"/>
      <c r="Q57" s="884"/>
      <c r="R57" s="885"/>
      <c r="S57" s="885"/>
      <c r="T57" s="886"/>
      <c r="U57" s="973"/>
      <c r="V57" s="974"/>
      <c r="W57" s="974"/>
      <c r="X57" s="974"/>
      <c r="Y57" s="974"/>
      <c r="Z57" s="974"/>
      <c r="AA57" s="974"/>
      <c r="AB57" s="974"/>
      <c r="AC57" s="974"/>
      <c r="AD57" s="974"/>
      <c r="AE57" s="974"/>
      <c r="AF57" s="974"/>
      <c r="AG57" s="974"/>
      <c r="AH57" s="975"/>
    </row>
    <row r="58" spans="1:34" ht="3" customHeight="1">
      <c r="A58" s="247"/>
      <c r="B58" s="248"/>
      <c r="C58" s="611"/>
      <c r="D58" s="248"/>
      <c r="E58" s="252"/>
      <c r="F58" s="252"/>
      <c r="G58" s="252"/>
      <c r="H58" s="252"/>
      <c r="I58" s="252"/>
      <c r="J58" s="252"/>
      <c r="K58" s="252"/>
      <c r="L58" s="252"/>
      <c r="M58" s="252"/>
      <c r="N58" s="252"/>
      <c r="O58" s="252"/>
      <c r="P58" s="252"/>
      <c r="Q58" s="887"/>
      <c r="R58" s="888"/>
      <c r="S58" s="888"/>
      <c r="T58" s="889"/>
      <c r="U58" s="976"/>
      <c r="V58" s="977"/>
      <c r="W58" s="977"/>
      <c r="X58" s="977"/>
      <c r="Y58" s="977"/>
      <c r="Z58" s="977"/>
      <c r="AA58" s="977"/>
      <c r="AB58" s="977"/>
      <c r="AC58" s="977"/>
      <c r="AD58" s="977"/>
      <c r="AE58" s="977"/>
      <c r="AF58" s="977"/>
      <c r="AG58" s="977"/>
      <c r="AH58" s="978"/>
    </row>
    <row r="59" spans="1:34" ht="3" customHeight="1">
      <c r="A59" s="249"/>
      <c r="B59" s="250"/>
      <c r="C59" s="610"/>
      <c r="D59" s="250"/>
      <c r="E59" s="251"/>
      <c r="F59" s="251"/>
      <c r="G59" s="251"/>
      <c r="H59" s="251"/>
      <c r="I59" s="251"/>
      <c r="J59" s="251"/>
      <c r="K59" s="251"/>
      <c r="L59" s="251"/>
      <c r="M59" s="251"/>
      <c r="N59" s="251"/>
      <c r="O59" s="251"/>
      <c r="P59" s="251"/>
      <c r="Q59" s="881"/>
      <c r="R59" s="882"/>
      <c r="S59" s="882"/>
      <c r="T59" s="883"/>
      <c r="U59" s="970"/>
      <c r="V59" s="971"/>
      <c r="W59" s="971"/>
      <c r="X59" s="971"/>
      <c r="Y59" s="971"/>
      <c r="Z59" s="971"/>
      <c r="AA59" s="971"/>
      <c r="AB59" s="971"/>
      <c r="AC59" s="971"/>
      <c r="AD59" s="971"/>
      <c r="AE59" s="971"/>
      <c r="AF59" s="971"/>
      <c r="AG59" s="971"/>
      <c r="AH59" s="972"/>
    </row>
    <row r="60" spans="1:34" ht="14.1" customHeight="1">
      <c r="A60" s="245"/>
      <c r="B60" s="31"/>
      <c r="C60" s="565"/>
      <c r="D60" s="31"/>
      <c r="E60" s="877" t="str">
        <f>Cover!AB23</f>
        <v>8 Software test report</v>
      </c>
      <c r="F60" s="877"/>
      <c r="G60" s="877"/>
      <c r="H60" s="877"/>
      <c r="I60" s="877"/>
      <c r="J60" s="877"/>
      <c r="K60" s="877"/>
      <c r="L60" s="877"/>
      <c r="M60" s="877"/>
      <c r="N60" s="877"/>
      <c r="O60" s="877"/>
      <c r="P60" s="877"/>
      <c r="Q60" s="884"/>
      <c r="R60" s="885"/>
      <c r="S60" s="885"/>
      <c r="T60" s="886"/>
      <c r="U60" s="973"/>
      <c r="V60" s="974"/>
      <c r="W60" s="974"/>
      <c r="X60" s="974"/>
      <c r="Y60" s="974"/>
      <c r="Z60" s="974"/>
      <c r="AA60" s="974"/>
      <c r="AB60" s="974"/>
      <c r="AC60" s="974"/>
      <c r="AD60" s="974"/>
      <c r="AE60" s="974"/>
      <c r="AF60" s="974"/>
      <c r="AG60" s="974"/>
      <c r="AH60" s="975"/>
    </row>
    <row r="61" spans="1:34" ht="3" customHeight="1">
      <c r="A61" s="247"/>
      <c r="B61" s="248"/>
      <c r="C61" s="611"/>
      <c r="D61" s="248"/>
      <c r="E61" s="252"/>
      <c r="F61" s="252"/>
      <c r="G61" s="252"/>
      <c r="H61" s="252"/>
      <c r="I61" s="252"/>
      <c r="J61" s="252"/>
      <c r="K61" s="252"/>
      <c r="L61" s="252"/>
      <c r="M61" s="252"/>
      <c r="N61" s="252"/>
      <c r="O61" s="252"/>
      <c r="P61" s="252"/>
      <c r="Q61" s="887"/>
      <c r="R61" s="888"/>
      <c r="S61" s="888"/>
      <c r="T61" s="889"/>
      <c r="U61" s="976"/>
      <c r="V61" s="977"/>
      <c r="W61" s="977"/>
      <c r="X61" s="977"/>
      <c r="Y61" s="977"/>
      <c r="Z61" s="977"/>
      <c r="AA61" s="977"/>
      <c r="AB61" s="977"/>
      <c r="AC61" s="977"/>
      <c r="AD61" s="977"/>
      <c r="AE61" s="977"/>
      <c r="AF61" s="977"/>
      <c r="AG61" s="977"/>
      <c r="AH61" s="978"/>
    </row>
    <row r="62" spans="1:34" ht="3" customHeight="1">
      <c r="A62" s="249"/>
      <c r="B62" s="250"/>
      <c r="C62" s="610"/>
      <c r="D62" s="250"/>
      <c r="E62" s="251"/>
      <c r="F62" s="251"/>
      <c r="G62" s="251"/>
      <c r="H62" s="251"/>
      <c r="I62" s="251"/>
      <c r="J62" s="251"/>
      <c r="K62" s="251"/>
      <c r="L62" s="251"/>
      <c r="M62" s="251"/>
      <c r="N62" s="251"/>
      <c r="O62" s="251"/>
      <c r="P62" s="251"/>
      <c r="Q62" s="881"/>
      <c r="R62" s="882"/>
      <c r="S62" s="882"/>
      <c r="T62" s="883"/>
      <c r="U62" s="970"/>
      <c r="V62" s="971"/>
      <c r="W62" s="971"/>
      <c r="X62" s="971"/>
      <c r="Y62" s="971"/>
      <c r="Z62" s="971"/>
      <c r="AA62" s="971"/>
      <c r="AB62" s="971"/>
      <c r="AC62" s="971"/>
      <c r="AD62" s="971"/>
      <c r="AE62" s="971"/>
      <c r="AF62" s="971"/>
      <c r="AG62" s="971"/>
      <c r="AH62" s="972"/>
    </row>
    <row r="63" spans="1:34" ht="14.1" customHeight="1">
      <c r="A63" s="245"/>
      <c r="B63" s="31"/>
      <c r="C63" s="565"/>
      <c r="D63" s="31"/>
      <c r="E63" s="877" t="str">
        <f>Cover!AB25</f>
        <v>9 Process – FMEA</v>
      </c>
      <c r="F63" s="877"/>
      <c r="G63" s="877"/>
      <c r="H63" s="877"/>
      <c r="I63" s="877"/>
      <c r="J63" s="877"/>
      <c r="K63" s="877"/>
      <c r="L63" s="877"/>
      <c r="M63" s="877"/>
      <c r="N63" s="877"/>
      <c r="O63" s="877"/>
      <c r="P63" s="877"/>
      <c r="Q63" s="884"/>
      <c r="R63" s="885"/>
      <c r="S63" s="885"/>
      <c r="T63" s="886"/>
      <c r="U63" s="973"/>
      <c r="V63" s="974"/>
      <c r="W63" s="974"/>
      <c r="X63" s="974"/>
      <c r="Y63" s="974"/>
      <c r="Z63" s="974"/>
      <c r="AA63" s="974"/>
      <c r="AB63" s="974"/>
      <c r="AC63" s="974"/>
      <c r="AD63" s="974"/>
      <c r="AE63" s="974"/>
      <c r="AF63" s="974"/>
      <c r="AG63" s="974"/>
      <c r="AH63" s="975"/>
    </row>
    <row r="64" spans="1:34" ht="3" customHeight="1">
      <c r="A64" s="247"/>
      <c r="B64" s="248"/>
      <c r="C64" s="611"/>
      <c r="D64" s="248"/>
      <c r="E64" s="252"/>
      <c r="F64" s="252"/>
      <c r="G64" s="252"/>
      <c r="H64" s="252"/>
      <c r="I64" s="252"/>
      <c r="J64" s="252"/>
      <c r="K64" s="252"/>
      <c r="L64" s="252"/>
      <c r="M64" s="252"/>
      <c r="N64" s="252"/>
      <c r="O64" s="252"/>
      <c r="P64" s="252"/>
      <c r="Q64" s="887"/>
      <c r="R64" s="888"/>
      <c r="S64" s="888"/>
      <c r="T64" s="889"/>
      <c r="U64" s="976"/>
      <c r="V64" s="977"/>
      <c r="W64" s="977"/>
      <c r="X64" s="977"/>
      <c r="Y64" s="977"/>
      <c r="Z64" s="977"/>
      <c r="AA64" s="977"/>
      <c r="AB64" s="977"/>
      <c r="AC64" s="977"/>
      <c r="AD64" s="977"/>
      <c r="AE64" s="977"/>
      <c r="AF64" s="977"/>
      <c r="AG64" s="977"/>
      <c r="AH64" s="978"/>
    </row>
    <row r="65" spans="1:34" ht="3" customHeight="1">
      <c r="A65" s="249"/>
      <c r="B65" s="250"/>
      <c r="C65" s="610"/>
      <c r="D65" s="250"/>
      <c r="E65" s="251"/>
      <c r="F65" s="251"/>
      <c r="G65" s="251"/>
      <c r="H65" s="251"/>
      <c r="I65" s="251"/>
      <c r="J65" s="251"/>
      <c r="K65" s="251"/>
      <c r="L65" s="251"/>
      <c r="M65" s="251"/>
      <c r="N65" s="251"/>
      <c r="O65" s="251"/>
      <c r="P65" s="251"/>
      <c r="Q65" s="881"/>
      <c r="R65" s="882"/>
      <c r="S65" s="882"/>
      <c r="T65" s="883"/>
      <c r="U65" s="970"/>
      <c r="V65" s="971"/>
      <c r="W65" s="971"/>
      <c r="X65" s="971"/>
      <c r="Y65" s="971"/>
      <c r="Z65" s="971"/>
      <c r="AA65" s="971"/>
      <c r="AB65" s="971"/>
      <c r="AC65" s="971"/>
      <c r="AD65" s="971"/>
      <c r="AE65" s="971"/>
      <c r="AF65" s="971"/>
      <c r="AG65" s="971"/>
      <c r="AH65" s="972"/>
    </row>
    <row r="66" spans="1:34" ht="14.1" customHeight="1">
      <c r="A66" s="245"/>
      <c r="B66" s="31"/>
      <c r="C66" s="565"/>
      <c r="D66" s="31"/>
      <c r="E66" s="877" t="str">
        <f>Cover!AB27</f>
        <v>10 Process flow chart</v>
      </c>
      <c r="F66" s="877"/>
      <c r="G66" s="877"/>
      <c r="H66" s="877"/>
      <c r="I66" s="877"/>
      <c r="J66" s="877"/>
      <c r="K66" s="877"/>
      <c r="L66" s="877"/>
      <c r="M66" s="877"/>
      <c r="N66" s="877"/>
      <c r="O66" s="877"/>
      <c r="P66" s="877"/>
      <c r="Q66" s="884"/>
      <c r="R66" s="885"/>
      <c r="S66" s="885"/>
      <c r="T66" s="886"/>
      <c r="U66" s="973"/>
      <c r="V66" s="974"/>
      <c r="W66" s="974"/>
      <c r="X66" s="974"/>
      <c r="Y66" s="974"/>
      <c r="Z66" s="974"/>
      <c r="AA66" s="974"/>
      <c r="AB66" s="974"/>
      <c r="AC66" s="974"/>
      <c r="AD66" s="974"/>
      <c r="AE66" s="974"/>
      <c r="AF66" s="974"/>
      <c r="AG66" s="974"/>
      <c r="AH66" s="975"/>
    </row>
    <row r="67" spans="1:34" ht="3" customHeight="1">
      <c r="A67" s="247"/>
      <c r="B67" s="248"/>
      <c r="C67" s="611"/>
      <c r="D67" s="248"/>
      <c r="E67" s="252"/>
      <c r="F67" s="252"/>
      <c r="G67" s="252"/>
      <c r="H67" s="252"/>
      <c r="I67" s="252"/>
      <c r="J67" s="252"/>
      <c r="K67" s="252"/>
      <c r="L67" s="252"/>
      <c r="M67" s="252"/>
      <c r="N67" s="252"/>
      <c r="O67" s="252"/>
      <c r="P67" s="252"/>
      <c r="Q67" s="887"/>
      <c r="R67" s="888"/>
      <c r="S67" s="888"/>
      <c r="T67" s="889"/>
      <c r="U67" s="976"/>
      <c r="V67" s="977"/>
      <c r="W67" s="977"/>
      <c r="X67" s="977"/>
      <c r="Y67" s="977"/>
      <c r="Z67" s="977"/>
      <c r="AA67" s="977"/>
      <c r="AB67" s="977"/>
      <c r="AC67" s="977"/>
      <c r="AD67" s="977"/>
      <c r="AE67" s="977"/>
      <c r="AF67" s="977"/>
      <c r="AG67" s="977"/>
      <c r="AH67" s="978"/>
    </row>
    <row r="68" spans="1:34" ht="3" customHeight="1">
      <c r="A68" s="249"/>
      <c r="B68" s="250"/>
      <c r="C68" s="610"/>
      <c r="D68" s="250"/>
      <c r="E68" s="251"/>
      <c r="F68" s="251"/>
      <c r="G68" s="251"/>
      <c r="H68" s="251"/>
      <c r="I68" s="251"/>
      <c r="J68" s="251"/>
      <c r="K68" s="251"/>
      <c r="L68" s="251"/>
      <c r="M68" s="251"/>
      <c r="N68" s="251"/>
      <c r="O68" s="251"/>
      <c r="P68" s="251"/>
      <c r="Q68" s="881"/>
      <c r="R68" s="882"/>
      <c r="S68" s="882"/>
      <c r="T68" s="883"/>
      <c r="U68" s="970"/>
      <c r="V68" s="971"/>
      <c r="W68" s="971"/>
      <c r="X68" s="971"/>
      <c r="Y68" s="971"/>
      <c r="Z68" s="971"/>
      <c r="AA68" s="971"/>
      <c r="AB68" s="971"/>
      <c r="AC68" s="971"/>
      <c r="AD68" s="971"/>
      <c r="AE68" s="971"/>
      <c r="AF68" s="971"/>
      <c r="AG68" s="971"/>
      <c r="AH68" s="972"/>
    </row>
    <row r="69" spans="1:34" ht="14.1" customHeight="1">
      <c r="A69" s="245"/>
      <c r="B69" s="31"/>
      <c r="C69" s="565"/>
      <c r="D69" s="31"/>
      <c r="E69" s="877" t="str">
        <f>Cover!AB29</f>
        <v>11 Control plan</v>
      </c>
      <c r="F69" s="877"/>
      <c r="G69" s="877"/>
      <c r="H69" s="877"/>
      <c r="I69" s="877"/>
      <c r="J69" s="877"/>
      <c r="K69" s="877"/>
      <c r="L69" s="877"/>
      <c r="M69" s="877"/>
      <c r="N69" s="877"/>
      <c r="O69" s="877"/>
      <c r="P69" s="877"/>
      <c r="Q69" s="884"/>
      <c r="R69" s="885"/>
      <c r="S69" s="885"/>
      <c r="T69" s="886"/>
      <c r="U69" s="973"/>
      <c r="V69" s="974"/>
      <c r="W69" s="974"/>
      <c r="X69" s="974"/>
      <c r="Y69" s="974"/>
      <c r="Z69" s="974"/>
      <c r="AA69" s="974"/>
      <c r="AB69" s="974"/>
      <c r="AC69" s="974"/>
      <c r="AD69" s="974"/>
      <c r="AE69" s="974"/>
      <c r="AF69" s="974"/>
      <c r="AG69" s="974"/>
      <c r="AH69" s="975"/>
    </row>
    <row r="70" spans="1:34" ht="3" customHeight="1">
      <c r="A70" s="247"/>
      <c r="B70" s="248"/>
      <c r="C70" s="611"/>
      <c r="D70" s="248"/>
      <c r="E70" s="252"/>
      <c r="F70" s="252"/>
      <c r="G70" s="252"/>
      <c r="H70" s="252"/>
      <c r="I70" s="252"/>
      <c r="J70" s="252"/>
      <c r="K70" s="252"/>
      <c r="L70" s="252"/>
      <c r="M70" s="252"/>
      <c r="N70" s="252"/>
      <c r="O70" s="252"/>
      <c r="P70" s="252"/>
      <c r="Q70" s="887"/>
      <c r="R70" s="888"/>
      <c r="S70" s="888"/>
      <c r="T70" s="889"/>
      <c r="U70" s="976"/>
      <c r="V70" s="977"/>
      <c r="W70" s="977"/>
      <c r="X70" s="977"/>
      <c r="Y70" s="977"/>
      <c r="Z70" s="977"/>
      <c r="AA70" s="977"/>
      <c r="AB70" s="977"/>
      <c r="AC70" s="977"/>
      <c r="AD70" s="977"/>
      <c r="AE70" s="977"/>
      <c r="AF70" s="977"/>
      <c r="AG70" s="977"/>
      <c r="AH70" s="978"/>
    </row>
    <row r="71" spans="1:34" ht="3" customHeight="1">
      <c r="A71" s="249"/>
      <c r="B71" s="250"/>
      <c r="C71" s="610"/>
      <c r="D71" s="250"/>
      <c r="E71" s="251"/>
      <c r="F71" s="251"/>
      <c r="G71" s="251"/>
      <c r="H71" s="251"/>
      <c r="I71" s="251"/>
      <c r="J71" s="251"/>
      <c r="K71" s="251"/>
      <c r="L71" s="251"/>
      <c r="M71" s="251"/>
      <c r="N71" s="251"/>
      <c r="O71" s="251"/>
      <c r="P71" s="251"/>
      <c r="Q71" s="881"/>
      <c r="R71" s="882"/>
      <c r="S71" s="882"/>
      <c r="T71" s="883"/>
      <c r="U71" s="970"/>
      <c r="V71" s="971"/>
      <c r="W71" s="971"/>
      <c r="X71" s="971"/>
      <c r="Y71" s="971"/>
      <c r="Z71" s="971"/>
      <c r="AA71" s="971"/>
      <c r="AB71" s="971"/>
      <c r="AC71" s="971"/>
      <c r="AD71" s="971"/>
      <c r="AE71" s="971"/>
      <c r="AF71" s="971"/>
      <c r="AG71" s="971"/>
      <c r="AH71" s="972"/>
    </row>
    <row r="72" spans="1:34" ht="14.1" customHeight="1">
      <c r="A72" s="245"/>
      <c r="B72" s="31"/>
      <c r="C72" s="565"/>
      <c r="D72" s="31"/>
      <c r="E72" s="877" t="str">
        <f>Cover!AB31</f>
        <v>12 Confirmation of process capability</v>
      </c>
      <c r="F72" s="877"/>
      <c r="G72" s="877"/>
      <c r="H72" s="877"/>
      <c r="I72" s="877"/>
      <c r="J72" s="877"/>
      <c r="K72" s="877"/>
      <c r="L72" s="877"/>
      <c r="M72" s="877"/>
      <c r="N72" s="877"/>
      <c r="O72" s="877"/>
      <c r="P72" s="877"/>
      <c r="Q72" s="884"/>
      <c r="R72" s="885"/>
      <c r="S72" s="885"/>
      <c r="T72" s="886"/>
      <c r="U72" s="973"/>
      <c r="V72" s="974"/>
      <c r="W72" s="974"/>
      <c r="X72" s="974"/>
      <c r="Y72" s="974"/>
      <c r="Z72" s="974"/>
      <c r="AA72" s="974"/>
      <c r="AB72" s="974"/>
      <c r="AC72" s="974"/>
      <c r="AD72" s="974"/>
      <c r="AE72" s="974"/>
      <c r="AF72" s="974"/>
      <c r="AG72" s="974"/>
      <c r="AH72" s="975"/>
    </row>
    <row r="73" spans="1:34" ht="3" customHeight="1">
      <c r="A73" s="247"/>
      <c r="B73" s="248"/>
      <c r="C73" s="611"/>
      <c r="D73" s="248"/>
      <c r="E73" s="252"/>
      <c r="F73" s="252"/>
      <c r="G73" s="252"/>
      <c r="H73" s="252"/>
      <c r="I73" s="252"/>
      <c r="J73" s="252"/>
      <c r="K73" s="252"/>
      <c r="L73" s="252"/>
      <c r="M73" s="252"/>
      <c r="N73" s="252"/>
      <c r="O73" s="252"/>
      <c r="P73" s="252"/>
      <c r="Q73" s="887"/>
      <c r="R73" s="888"/>
      <c r="S73" s="888"/>
      <c r="T73" s="889"/>
      <c r="U73" s="976"/>
      <c r="V73" s="977"/>
      <c r="W73" s="977"/>
      <c r="X73" s="977"/>
      <c r="Y73" s="977"/>
      <c r="Z73" s="977"/>
      <c r="AA73" s="977"/>
      <c r="AB73" s="977"/>
      <c r="AC73" s="977"/>
      <c r="AD73" s="977"/>
      <c r="AE73" s="977"/>
      <c r="AF73" s="977"/>
      <c r="AG73" s="977"/>
      <c r="AH73" s="978"/>
    </row>
    <row r="74" spans="1:34" ht="3" customHeight="1">
      <c r="A74" s="249"/>
      <c r="B74" s="250"/>
      <c r="C74" s="610"/>
      <c r="D74" s="250"/>
      <c r="E74" s="251"/>
      <c r="F74" s="251"/>
      <c r="G74" s="251"/>
      <c r="H74" s="251"/>
      <c r="I74" s="251"/>
      <c r="J74" s="251"/>
      <c r="K74" s="251"/>
      <c r="L74" s="251"/>
      <c r="M74" s="251"/>
      <c r="N74" s="251"/>
      <c r="O74" s="251"/>
      <c r="P74" s="251"/>
      <c r="Q74" s="881"/>
      <c r="R74" s="882"/>
      <c r="S74" s="882"/>
      <c r="T74" s="883"/>
      <c r="U74" s="970"/>
      <c r="V74" s="971"/>
      <c r="W74" s="971"/>
      <c r="X74" s="971"/>
      <c r="Y74" s="971"/>
      <c r="Z74" s="971"/>
      <c r="AA74" s="971"/>
      <c r="AB74" s="971"/>
      <c r="AC74" s="971"/>
      <c r="AD74" s="971"/>
      <c r="AE74" s="971"/>
      <c r="AF74" s="971"/>
      <c r="AG74" s="971"/>
      <c r="AH74" s="972"/>
    </row>
    <row r="75" spans="1:34" ht="14.1" customHeight="1">
      <c r="A75" s="245"/>
      <c r="B75" s="31"/>
      <c r="C75" s="565"/>
      <c r="D75" s="31"/>
      <c r="E75" s="877" t="str">
        <f>Cover!AB33</f>
        <v>13 Achievement of special characteristics</v>
      </c>
      <c r="F75" s="877"/>
      <c r="G75" s="877"/>
      <c r="H75" s="877"/>
      <c r="I75" s="877"/>
      <c r="J75" s="877"/>
      <c r="K75" s="877"/>
      <c r="L75" s="877"/>
      <c r="M75" s="877"/>
      <c r="N75" s="877"/>
      <c r="O75" s="877"/>
      <c r="P75" s="877"/>
      <c r="Q75" s="884"/>
      <c r="R75" s="885"/>
      <c r="S75" s="885"/>
      <c r="T75" s="886"/>
      <c r="U75" s="973"/>
      <c r="V75" s="974"/>
      <c r="W75" s="974"/>
      <c r="X75" s="974"/>
      <c r="Y75" s="974"/>
      <c r="Z75" s="974"/>
      <c r="AA75" s="974"/>
      <c r="AB75" s="974"/>
      <c r="AC75" s="974"/>
      <c r="AD75" s="974"/>
      <c r="AE75" s="974"/>
      <c r="AF75" s="974"/>
      <c r="AG75" s="974"/>
      <c r="AH75" s="975"/>
    </row>
    <row r="76" spans="1:34" ht="3" customHeight="1">
      <c r="A76" s="247"/>
      <c r="B76" s="248"/>
      <c r="C76" s="611"/>
      <c r="D76" s="248"/>
      <c r="E76" s="252"/>
      <c r="F76" s="252"/>
      <c r="G76" s="252"/>
      <c r="H76" s="252"/>
      <c r="I76" s="252"/>
      <c r="J76" s="252"/>
      <c r="K76" s="252"/>
      <c r="L76" s="252"/>
      <c r="M76" s="252"/>
      <c r="N76" s="252"/>
      <c r="O76" s="252"/>
      <c r="P76" s="252"/>
      <c r="Q76" s="887"/>
      <c r="R76" s="888"/>
      <c r="S76" s="888"/>
      <c r="T76" s="889"/>
      <c r="U76" s="976"/>
      <c r="V76" s="977"/>
      <c r="W76" s="977"/>
      <c r="X76" s="977"/>
      <c r="Y76" s="977"/>
      <c r="Z76" s="977"/>
      <c r="AA76" s="977"/>
      <c r="AB76" s="977"/>
      <c r="AC76" s="977"/>
      <c r="AD76" s="977"/>
      <c r="AE76" s="977"/>
      <c r="AF76" s="977"/>
      <c r="AG76" s="977"/>
      <c r="AH76" s="978"/>
    </row>
    <row r="77" spans="1:34" ht="3" customHeight="1">
      <c r="A77" s="249"/>
      <c r="B77" s="250"/>
      <c r="C77" s="610"/>
      <c r="D77" s="250"/>
      <c r="E77" s="251"/>
      <c r="F77" s="251"/>
      <c r="G77" s="251"/>
      <c r="H77" s="251"/>
      <c r="I77" s="251"/>
      <c r="J77" s="251"/>
      <c r="K77" s="251"/>
      <c r="L77" s="251"/>
      <c r="M77" s="251"/>
      <c r="N77" s="251"/>
      <c r="O77" s="251"/>
      <c r="P77" s="251"/>
      <c r="Q77" s="881"/>
      <c r="R77" s="882"/>
      <c r="S77" s="882"/>
      <c r="T77" s="883"/>
      <c r="U77" s="970"/>
      <c r="V77" s="971"/>
      <c r="W77" s="971"/>
      <c r="X77" s="971"/>
      <c r="Y77" s="971"/>
      <c r="Z77" s="971"/>
      <c r="AA77" s="971"/>
      <c r="AB77" s="971"/>
      <c r="AC77" s="971"/>
      <c r="AD77" s="971"/>
      <c r="AE77" s="971"/>
      <c r="AF77" s="971"/>
      <c r="AG77" s="971"/>
      <c r="AH77" s="972"/>
    </row>
    <row r="78" spans="1:34" ht="14.1" customHeight="1">
      <c r="A78" s="245"/>
      <c r="B78" s="31"/>
      <c r="C78" s="565"/>
      <c r="D78" s="31"/>
      <c r="E78" s="877" t="str">
        <f>Cover!AB35</f>
        <v>14 Test / Inspection equipment list</v>
      </c>
      <c r="F78" s="877"/>
      <c r="G78" s="877"/>
      <c r="H78" s="877"/>
      <c r="I78" s="877"/>
      <c r="J78" s="877"/>
      <c r="K78" s="877"/>
      <c r="L78" s="877"/>
      <c r="M78" s="877"/>
      <c r="N78" s="877"/>
      <c r="O78" s="877"/>
      <c r="P78" s="877"/>
      <c r="Q78" s="884"/>
      <c r="R78" s="885"/>
      <c r="S78" s="885"/>
      <c r="T78" s="886"/>
      <c r="U78" s="973"/>
      <c r="V78" s="974"/>
      <c r="W78" s="974"/>
      <c r="X78" s="974"/>
      <c r="Y78" s="974"/>
      <c r="Z78" s="974"/>
      <c r="AA78" s="974"/>
      <c r="AB78" s="974"/>
      <c r="AC78" s="974"/>
      <c r="AD78" s="974"/>
      <c r="AE78" s="974"/>
      <c r="AF78" s="974"/>
      <c r="AG78" s="974"/>
      <c r="AH78" s="975"/>
    </row>
    <row r="79" spans="1:34" ht="3" customHeight="1">
      <c r="A79" s="247"/>
      <c r="B79" s="248"/>
      <c r="C79" s="611"/>
      <c r="D79" s="248"/>
      <c r="E79" s="252"/>
      <c r="F79" s="252"/>
      <c r="G79" s="252"/>
      <c r="H79" s="252"/>
      <c r="I79" s="252"/>
      <c r="J79" s="252"/>
      <c r="K79" s="252"/>
      <c r="L79" s="252"/>
      <c r="M79" s="252"/>
      <c r="N79" s="252"/>
      <c r="O79" s="252"/>
      <c r="P79" s="252"/>
      <c r="Q79" s="887"/>
      <c r="R79" s="888"/>
      <c r="S79" s="888"/>
      <c r="T79" s="889"/>
      <c r="U79" s="976"/>
      <c r="V79" s="977"/>
      <c r="W79" s="977"/>
      <c r="X79" s="977"/>
      <c r="Y79" s="977"/>
      <c r="Z79" s="977"/>
      <c r="AA79" s="977"/>
      <c r="AB79" s="977"/>
      <c r="AC79" s="977"/>
      <c r="AD79" s="977"/>
      <c r="AE79" s="977"/>
      <c r="AF79" s="977"/>
      <c r="AG79" s="977"/>
      <c r="AH79" s="978"/>
    </row>
    <row r="80" spans="1:34" ht="3" customHeight="1">
      <c r="A80" s="249"/>
      <c r="B80" s="250"/>
      <c r="C80" s="610"/>
      <c r="D80" s="250"/>
      <c r="E80" s="251"/>
      <c r="F80" s="251"/>
      <c r="G80" s="251"/>
      <c r="H80" s="251"/>
      <c r="I80" s="251"/>
      <c r="J80" s="251"/>
      <c r="K80" s="251"/>
      <c r="L80" s="251"/>
      <c r="M80" s="251"/>
      <c r="N80" s="251"/>
      <c r="O80" s="251"/>
      <c r="P80" s="251"/>
      <c r="Q80" s="881"/>
      <c r="R80" s="882"/>
      <c r="S80" s="882"/>
      <c r="T80" s="883"/>
      <c r="U80" s="970"/>
      <c r="V80" s="971"/>
      <c r="W80" s="971"/>
      <c r="X80" s="971"/>
      <c r="Y80" s="971"/>
      <c r="Z80" s="971"/>
      <c r="AA80" s="971"/>
      <c r="AB80" s="971"/>
      <c r="AC80" s="971"/>
      <c r="AD80" s="971"/>
      <c r="AE80" s="971"/>
      <c r="AF80" s="971"/>
      <c r="AG80" s="971"/>
      <c r="AH80" s="972"/>
    </row>
    <row r="81" spans="1:34" ht="14.1" customHeight="1">
      <c r="A81" s="245"/>
      <c r="B81" s="31"/>
      <c r="C81" s="565"/>
      <c r="D81" s="31"/>
      <c r="E81" s="877" t="str">
        <f>Cover!AB37</f>
        <v>15 Capability study testing equipment</v>
      </c>
      <c r="F81" s="877"/>
      <c r="G81" s="877"/>
      <c r="H81" s="877"/>
      <c r="I81" s="877"/>
      <c r="J81" s="877"/>
      <c r="K81" s="877"/>
      <c r="L81" s="877"/>
      <c r="M81" s="877"/>
      <c r="N81" s="877"/>
      <c r="O81" s="877"/>
      <c r="P81" s="877"/>
      <c r="Q81" s="884"/>
      <c r="R81" s="885"/>
      <c r="S81" s="885"/>
      <c r="T81" s="886"/>
      <c r="U81" s="973"/>
      <c r="V81" s="974"/>
      <c r="W81" s="974"/>
      <c r="X81" s="974"/>
      <c r="Y81" s="974"/>
      <c r="Z81" s="974"/>
      <c r="AA81" s="974"/>
      <c r="AB81" s="974"/>
      <c r="AC81" s="974"/>
      <c r="AD81" s="974"/>
      <c r="AE81" s="974"/>
      <c r="AF81" s="974"/>
      <c r="AG81" s="974"/>
      <c r="AH81" s="975"/>
    </row>
    <row r="82" spans="1:34" ht="3" customHeight="1">
      <c r="A82" s="247"/>
      <c r="B82" s="248"/>
      <c r="C82" s="611"/>
      <c r="D82" s="248"/>
      <c r="E82" s="252"/>
      <c r="F82" s="252"/>
      <c r="G82" s="252"/>
      <c r="H82" s="252"/>
      <c r="I82" s="252"/>
      <c r="J82" s="252"/>
      <c r="K82" s="252"/>
      <c r="L82" s="252"/>
      <c r="M82" s="252"/>
      <c r="N82" s="252"/>
      <c r="O82" s="252"/>
      <c r="P82" s="252"/>
      <c r="Q82" s="887"/>
      <c r="R82" s="888"/>
      <c r="S82" s="888"/>
      <c r="T82" s="889"/>
      <c r="U82" s="976"/>
      <c r="V82" s="977"/>
      <c r="W82" s="977"/>
      <c r="X82" s="977"/>
      <c r="Y82" s="977"/>
      <c r="Z82" s="977"/>
      <c r="AA82" s="977"/>
      <c r="AB82" s="977"/>
      <c r="AC82" s="977"/>
      <c r="AD82" s="977"/>
      <c r="AE82" s="977"/>
      <c r="AF82" s="977"/>
      <c r="AG82" s="977"/>
      <c r="AH82" s="978"/>
    </row>
    <row r="83" spans="1:34" ht="3" customHeight="1">
      <c r="A83" s="249"/>
      <c r="B83" s="250"/>
      <c r="C83" s="610"/>
      <c r="D83" s="250"/>
      <c r="E83" s="251"/>
      <c r="F83" s="251"/>
      <c r="G83" s="251"/>
      <c r="H83" s="251"/>
      <c r="I83" s="251"/>
      <c r="J83" s="251"/>
      <c r="K83" s="251"/>
      <c r="L83" s="251"/>
      <c r="M83" s="251"/>
      <c r="N83" s="251"/>
      <c r="O83" s="251"/>
      <c r="P83" s="251"/>
      <c r="Q83" s="881"/>
      <c r="R83" s="882"/>
      <c r="S83" s="882"/>
      <c r="T83" s="883"/>
      <c r="U83" s="970"/>
      <c r="V83" s="971"/>
      <c r="W83" s="971"/>
      <c r="X83" s="971"/>
      <c r="Y83" s="971"/>
      <c r="Z83" s="971"/>
      <c r="AA83" s="971"/>
      <c r="AB83" s="971"/>
      <c r="AC83" s="971"/>
      <c r="AD83" s="971"/>
      <c r="AE83" s="971"/>
      <c r="AF83" s="971"/>
      <c r="AG83" s="971"/>
      <c r="AH83" s="972"/>
    </row>
    <row r="84" spans="1:34" ht="14.1" customHeight="1">
      <c r="A84" s="245"/>
      <c r="B84" s="31"/>
      <c r="C84" s="565"/>
      <c r="D84" s="31"/>
      <c r="E84" s="877" t="str">
        <f>Cover!BU23</f>
        <v>16 Tooling list</v>
      </c>
      <c r="F84" s="877"/>
      <c r="G84" s="877"/>
      <c r="H84" s="877"/>
      <c r="I84" s="877"/>
      <c r="J84" s="877"/>
      <c r="K84" s="877"/>
      <c r="L84" s="877"/>
      <c r="M84" s="877"/>
      <c r="N84" s="877"/>
      <c r="O84" s="877"/>
      <c r="P84" s="877"/>
      <c r="Q84" s="884"/>
      <c r="R84" s="885"/>
      <c r="S84" s="885"/>
      <c r="T84" s="886"/>
      <c r="U84" s="973"/>
      <c r="V84" s="974"/>
      <c r="W84" s="974"/>
      <c r="X84" s="974"/>
      <c r="Y84" s="974"/>
      <c r="Z84" s="974"/>
      <c r="AA84" s="974"/>
      <c r="AB84" s="974"/>
      <c r="AC84" s="974"/>
      <c r="AD84" s="974"/>
      <c r="AE84" s="974"/>
      <c r="AF84" s="974"/>
      <c r="AG84" s="974"/>
      <c r="AH84" s="975"/>
    </row>
    <row r="85" spans="1:34" ht="3" customHeight="1">
      <c r="A85" s="247"/>
      <c r="B85" s="248"/>
      <c r="C85" s="611"/>
      <c r="D85" s="248"/>
      <c r="E85" s="252"/>
      <c r="F85" s="252"/>
      <c r="G85" s="252"/>
      <c r="H85" s="252"/>
      <c r="I85" s="252"/>
      <c r="J85" s="252"/>
      <c r="K85" s="252"/>
      <c r="L85" s="252"/>
      <c r="M85" s="252"/>
      <c r="N85" s="252"/>
      <c r="O85" s="252"/>
      <c r="P85" s="252"/>
      <c r="Q85" s="887"/>
      <c r="R85" s="888"/>
      <c r="S85" s="888"/>
      <c r="T85" s="889"/>
      <c r="U85" s="976"/>
      <c r="V85" s="977"/>
      <c r="W85" s="977"/>
      <c r="X85" s="977"/>
      <c r="Y85" s="977"/>
      <c r="Z85" s="977"/>
      <c r="AA85" s="977"/>
      <c r="AB85" s="977"/>
      <c r="AC85" s="977"/>
      <c r="AD85" s="977"/>
      <c r="AE85" s="977"/>
      <c r="AF85" s="977"/>
      <c r="AG85" s="977"/>
      <c r="AH85" s="978"/>
    </row>
    <row r="86" spans="1:34" ht="3" customHeight="1">
      <c r="A86" s="249"/>
      <c r="B86" s="250"/>
      <c r="C86" s="610"/>
      <c r="D86" s="250"/>
      <c r="E86" s="251"/>
      <c r="F86" s="251"/>
      <c r="G86" s="251"/>
      <c r="H86" s="251"/>
      <c r="I86" s="251"/>
      <c r="J86" s="251"/>
      <c r="K86" s="251"/>
      <c r="L86" s="251"/>
      <c r="M86" s="251"/>
      <c r="N86" s="251"/>
      <c r="O86" s="251"/>
      <c r="P86" s="251"/>
      <c r="Q86" s="881"/>
      <c r="R86" s="882"/>
      <c r="S86" s="882"/>
      <c r="T86" s="883"/>
      <c r="U86" s="970"/>
      <c r="V86" s="971"/>
      <c r="W86" s="971"/>
      <c r="X86" s="971"/>
      <c r="Y86" s="971"/>
      <c r="Z86" s="971"/>
      <c r="AA86" s="971"/>
      <c r="AB86" s="971"/>
      <c r="AC86" s="971"/>
      <c r="AD86" s="971"/>
      <c r="AE86" s="971"/>
      <c r="AF86" s="971"/>
      <c r="AG86" s="971"/>
      <c r="AH86" s="972"/>
    </row>
    <row r="87" spans="1:34" ht="14.1" customHeight="1">
      <c r="A87" s="245"/>
      <c r="B87" s="31"/>
      <c r="C87" s="565"/>
      <c r="D87" s="31"/>
      <c r="E87" s="877" t="str">
        <f>Cover!BU25</f>
        <v>17 Confirmation of agreed capacity</v>
      </c>
      <c r="F87" s="877"/>
      <c r="G87" s="877"/>
      <c r="H87" s="877"/>
      <c r="I87" s="877"/>
      <c r="J87" s="877"/>
      <c r="K87" s="877"/>
      <c r="L87" s="877"/>
      <c r="M87" s="877"/>
      <c r="N87" s="877"/>
      <c r="O87" s="877"/>
      <c r="P87" s="877"/>
      <c r="Q87" s="884"/>
      <c r="R87" s="885"/>
      <c r="S87" s="885"/>
      <c r="T87" s="886"/>
      <c r="U87" s="973"/>
      <c r="V87" s="974"/>
      <c r="W87" s="974"/>
      <c r="X87" s="974"/>
      <c r="Y87" s="974"/>
      <c r="Z87" s="974"/>
      <c r="AA87" s="974"/>
      <c r="AB87" s="974"/>
      <c r="AC87" s="974"/>
      <c r="AD87" s="974"/>
      <c r="AE87" s="974"/>
      <c r="AF87" s="974"/>
      <c r="AG87" s="974"/>
      <c r="AH87" s="975"/>
    </row>
    <row r="88" spans="1:34" ht="3" customHeight="1">
      <c r="A88" s="247"/>
      <c r="B88" s="248"/>
      <c r="C88" s="611"/>
      <c r="D88" s="248"/>
      <c r="E88" s="252"/>
      <c r="F88" s="252"/>
      <c r="G88" s="252"/>
      <c r="H88" s="252"/>
      <c r="I88" s="252"/>
      <c r="J88" s="252"/>
      <c r="K88" s="252"/>
      <c r="L88" s="252"/>
      <c r="M88" s="252"/>
      <c r="N88" s="252"/>
      <c r="O88" s="252"/>
      <c r="P88" s="252"/>
      <c r="Q88" s="887"/>
      <c r="R88" s="888"/>
      <c r="S88" s="888"/>
      <c r="T88" s="889"/>
      <c r="U88" s="976"/>
      <c r="V88" s="977"/>
      <c r="W88" s="977"/>
      <c r="X88" s="977"/>
      <c r="Y88" s="977"/>
      <c r="Z88" s="977"/>
      <c r="AA88" s="977"/>
      <c r="AB88" s="977"/>
      <c r="AC88" s="977"/>
      <c r="AD88" s="977"/>
      <c r="AE88" s="977"/>
      <c r="AF88" s="977"/>
      <c r="AG88" s="977"/>
      <c r="AH88" s="978"/>
    </row>
    <row r="89" spans="1:34" ht="3" customHeight="1">
      <c r="A89" s="249"/>
      <c r="B89" s="250"/>
      <c r="C89" s="610"/>
      <c r="D89" s="250"/>
      <c r="E89" s="251"/>
      <c r="F89" s="251"/>
      <c r="G89" s="251"/>
      <c r="H89" s="251"/>
      <c r="I89" s="251"/>
      <c r="J89" s="251"/>
      <c r="K89" s="251"/>
      <c r="L89" s="251"/>
      <c r="M89" s="251"/>
      <c r="N89" s="251"/>
      <c r="O89" s="251"/>
      <c r="P89" s="251"/>
      <c r="Q89" s="881"/>
      <c r="R89" s="882"/>
      <c r="S89" s="882"/>
      <c r="T89" s="883"/>
      <c r="U89" s="970"/>
      <c r="V89" s="971"/>
      <c r="W89" s="971"/>
      <c r="X89" s="971"/>
      <c r="Y89" s="971"/>
      <c r="Z89" s="971"/>
      <c r="AA89" s="971"/>
      <c r="AB89" s="971"/>
      <c r="AC89" s="971"/>
      <c r="AD89" s="971"/>
      <c r="AE89" s="971"/>
      <c r="AF89" s="971"/>
      <c r="AG89" s="971"/>
      <c r="AH89" s="972"/>
    </row>
    <row r="90" spans="1:34" ht="14.1" customHeight="1">
      <c r="A90" s="245"/>
      <c r="B90" s="31"/>
      <c r="C90" s="565"/>
      <c r="D90" s="31"/>
      <c r="E90" s="877" t="str">
        <f>Cover!BU27</f>
        <v>18 Written self-assessment</v>
      </c>
      <c r="F90" s="877"/>
      <c r="G90" s="877"/>
      <c r="H90" s="877"/>
      <c r="I90" s="877"/>
      <c r="J90" s="877"/>
      <c r="K90" s="877"/>
      <c r="L90" s="877"/>
      <c r="M90" s="877"/>
      <c r="N90" s="877"/>
      <c r="O90" s="877"/>
      <c r="P90" s="877"/>
      <c r="Q90" s="884"/>
      <c r="R90" s="885"/>
      <c r="S90" s="885"/>
      <c r="T90" s="886"/>
      <c r="U90" s="973"/>
      <c r="V90" s="974"/>
      <c r="W90" s="974"/>
      <c r="X90" s="974"/>
      <c r="Y90" s="974"/>
      <c r="Z90" s="974"/>
      <c r="AA90" s="974"/>
      <c r="AB90" s="974"/>
      <c r="AC90" s="974"/>
      <c r="AD90" s="974"/>
      <c r="AE90" s="974"/>
      <c r="AF90" s="974"/>
      <c r="AG90" s="974"/>
      <c r="AH90" s="975"/>
    </row>
    <row r="91" spans="1:34" ht="3" customHeight="1">
      <c r="A91" s="247"/>
      <c r="B91" s="248"/>
      <c r="C91" s="611"/>
      <c r="D91" s="248"/>
      <c r="E91" s="252"/>
      <c r="F91" s="252"/>
      <c r="G91" s="252"/>
      <c r="H91" s="252"/>
      <c r="I91" s="252"/>
      <c r="J91" s="252"/>
      <c r="K91" s="252"/>
      <c r="L91" s="252"/>
      <c r="M91" s="252"/>
      <c r="N91" s="252"/>
      <c r="O91" s="252"/>
      <c r="P91" s="252"/>
      <c r="Q91" s="887"/>
      <c r="R91" s="888"/>
      <c r="S91" s="888"/>
      <c r="T91" s="889"/>
      <c r="U91" s="976"/>
      <c r="V91" s="977"/>
      <c r="W91" s="977"/>
      <c r="X91" s="977"/>
      <c r="Y91" s="977"/>
      <c r="Z91" s="977"/>
      <c r="AA91" s="977"/>
      <c r="AB91" s="977"/>
      <c r="AC91" s="977"/>
      <c r="AD91" s="977"/>
      <c r="AE91" s="977"/>
      <c r="AF91" s="977"/>
      <c r="AG91" s="977"/>
      <c r="AH91" s="978"/>
    </row>
    <row r="92" spans="1:34" ht="3" customHeight="1">
      <c r="A92" s="249"/>
      <c r="B92" s="250"/>
      <c r="C92" s="610"/>
      <c r="D92" s="250"/>
      <c r="E92" s="251"/>
      <c r="F92" s="251"/>
      <c r="G92" s="251"/>
      <c r="H92" s="251"/>
      <c r="I92" s="251"/>
      <c r="J92" s="251"/>
      <c r="K92" s="251"/>
      <c r="L92" s="251"/>
      <c r="M92" s="251"/>
      <c r="N92" s="251"/>
      <c r="O92" s="251"/>
      <c r="P92" s="251"/>
      <c r="Q92" s="881"/>
      <c r="R92" s="882"/>
      <c r="S92" s="882"/>
      <c r="T92" s="883"/>
      <c r="U92" s="970"/>
      <c r="V92" s="971"/>
      <c r="W92" s="971"/>
      <c r="X92" s="971"/>
      <c r="Y92" s="971"/>
      <c r="Z92" s="971"/>
      <c r="AA92" s="971"/>
      <c r="AB92" s="971"/>
      <c r="AC92" s="971"/>
      <c r="AD92" s="971"/>
      <c r="AE92" s="971"/>
      <c r="AF92" s="971"/>
      <c r="AG92" s="971"/>
      <c r="AH92" s="972"/>
    </row>
    <row r="93" spans="1:34" ht="14.1" customHeight="1">
      <c r="A93" s="245"/>
      <c r="B93" s="31"/>
      <c r="C93" s="565"/>
      <c r="D93" s="31"/>
      <c r="E93" s="877" t="str">
        <f>Cover!BU29</f>
        <v>19 Part history</v>
      </c>
      <c r="F93" s="877"/>
      <c r="G93" s="877"/>
      <c r="H93" s="877"/>
      <c r="I93" s="877"/>
      <c r="J93" s="877"/>
      <c r="K93" s="877"/>
      <c r="L93" s="877"/>
      <c r="M93" s="877"/>
      <c r="N93" s="877"/>
      <c r="O93" s="877"/>
      <c r="P93" s="877"/>
      <c r="Q93" s="884"/>
      <c r="R93" s="885"/>
      <c r="S93" s="885"/>
      <c r="T93" s="886"/>
      <c r="U93" s="973"/>
      <c r="V93" s="974"/>
      <c r="W93" s="974"/>
      <c r="X93" s="974"/>
      <c r="Y93" s="974"/>
      <c r="Z93" s="974"/>
      <c r="AA93" s="974"/>
      <c r="AB93" s="974"/>
      <c r="AC93" s="974"/>
      <c r="AD93" s="974"/>
      <c r="AE93" s="974"/>
      <c r="AF93" s="974"/>
      <c r="AG93" s="974"/>
      <c r="AH93" s="975"/>
    </row>
    <row r="94" spans="1:34" ht="3" customHeight="1">
      <c r="A94" s="247"/>
      <c r="B94" s="248"/>
      <c r="C94" s="611"/>
      <c r="D94" s="248"/>
      <c r="E94" s="252"/>
      <c r="F94" s="252"/>
      <c r="G94" s="252"/>
      <c r="H94" s="252"/>
      <c r="I94" s="252"/>
      <c r="J94" s="252"/>
      <c r="K94" s="252"/>
      <c r="L94" s="252"/>
      <c r="M94" s="252"/>
      <c r="N94" s="252"/>
      <c r="O94" s="252"/>
      <c r="P94" s="252"/>
      <c r="Q94" s="887"/>
      <c r="R94" s="888"/>
      <c r="S94" s="888"/>
      <c r="T94" s="889"/>
      <c r="U94" s="976"/>
      <c r="V94" s="977"/>
      <c r="W94" s="977"/>
      <c r="X94" s="977"/>
      <c r="Y94" s="977"/>
      <c r="Z94" s="977"/>
      <c r="AA94" s="977"/>
      <c r="AB94" s="977"/>
      <c r="AC94" s="977"/>
      <c r="AD94" s="977"/>
      <c r="AE94" s="977"/>
      <c r="AF94" s="977"/>
      <c r="AG94" s="977"/>
      <c r="AH94" s="978"/>
    </row>
    <row r="95" spans="1:34" ht="3" customHeight="1">
      <c r="A95" s="249"/>
      <c r="B95" s="250"/>
      <c r="C95" s="610"/>
      <c r="D95" s="250"/>
      <c r="E95" s="251"/>
      <c r="F95" s="251"/>
      <c r="G95" s="251"/>
      <c r="H95" s="251"/>
      <c r="I95" s="251"/>
      <c r="J95" s="251"/>
      <c r="K95" s="251"/>
      <c r="L95" s="251"/>
      <c r="M95" s="251"/>
      <c r="N95" s="251"/>
      <c r="O95" s="251"/>
      <c r="P95" s="251"/>
      <c r="Q95" s="881"/>
      <c r="R95" s="882"/>
      <c r="S95" s="882"/>
      <c r="T95" s="883"/>
      <c r="U95" s="970"/>
      <c r="V95" s="971"/>
      <c r="W95" s="971"/>
      <c r="X95" s="971"/>
      <c r="Y95" s="971"/>
      <c r="Z95" s="971"/>
      <c r="AA95" s="971"/>
      <c r="AB95" s="971"/>
      <c r="AC95" s="971"/>
      <c r="AD95" s="971"/>
      <c r="AE95" s="971"/>
      <c r="AF95" s="971"/>
      <c r="AG95" s="971"/>
      <c r="AH95" s="972"/>
    </row>
    <row r="96" spans="1:34" ht="14.1" customHeight="1">
      <c r="A96" s="245"/>
      <c r="B96" s="31"/>
      <c r="C96" s="565"/>
      <c r="D96" s="31"/>
      <c r="E96" s="877" t="str">
        <f>Cover!BU31</f>
        <v>20 Confirmation of suitability of transport equipment</v>
      </c>
      <c r="F96" s="877"/>
      <c r="G96" s="877"/>
      <c r="H96" s="877"/>
      <c r="I96" s="877"/>
      <c r="J96" s="877"/>
      <c r="K96" s="877"/>
      <c r="L96" s="877"/>
      <c r="M96" s="877"/>
      <c r="N96" s="877"/>
      <c r="O96" s="877"/>
      <c r="P96" s="877"/>
      <c r="Q96" s="884"/>
      <c r="R96" s="885"/>
      <c r="S96" s="885"/>
      <c r="T96" s="886"/>
      <c r="U96" s="973"/>
      <c r="V96" s="974"/>
      <c r="W96" s="974"/>
      <c r="X96" s="974"/>
      <c r="Y96" s="974"/>
      <c r="Z96" s="974"/>
      <c r="AA96" s="974"/>
      <c r="AB96" s="974"/>
      <c r="AC96" s="974"/>
      <c r="AD96" s="974"/>
      <c r="AE96" s="974"/>
      <c r="AF96" s="974"/>
      <c r="AG96" s="974"/>
      <c r="AH96" s="975"/>
    </row>
    <row r="97" spans="1:34" ht="3" customHeight="1">
      <c r="A97" s="247"/>
      <c r="B97" s="248"/>
      <c r="C97" s="611"/>
      <c r="D97" s="248"/>
      <c r="E97" s="252"/>
      <c r="F97" s="252"/>
      <c r="G97" s="252"/>
      <c r="H97" s="252"/>
      <c r="I97" s="252"/>
      <c r="J97" s="252"/>
      <c r="K97" s="252"/>
      <c r="L97" s="252"/>
      <c r="M97" s="252"/>
      <c r="N97" s="252"/>
      <c r="O97" s="252"/>
      <c r="P97" s="252"/>
      <c r="Q97" s="887"/>
      <c r="R97" s="888"/>
      <c r="S97" s="888"/>
      <c r="T97" s="889"/>
      <c r="U97" s="976"/>
      <c r="V97" s="977"/>
      <c r="W97" s="977"/>
      <c r="X97" s="977"/>
      <c r="Y97" s="977"/>
      <c r="Z97" s="977"/>
      <c r="AA97" s="977"/>
      <c r="AB97" s="977"/>
      <c r="AC97" s="977"/>
      <c r="AD97" s="977"/>
      <c r="AE97" s="977"/>
      <c r="AF97" s="977"/>
      <c r="AG97" s="977"/>
      <c r="AH97" s="978"/>
    </row>
    <row r="98" spans="1:34" ht="3" customHeight="1">
      <c r="A98" s="249"/>
      <c r="B98" s="250"/>
      <c r="C98" s="610"/>
      <c r="D98" s="250"/>
      <c r="E98" s="251"/>
      <c r="F98" s="251"/>
      <c r="G98" s="251"/>
      <c r="H98" s="251"/>
      <c r="I98" s="251"/>
      <c r="J98" s="251"/>
      <c r="K98" s="251"/>
      <c r="L98" s="251"/>
      <c r="M98" s="251"/>
      <c r="N98" s="251"/>
      <c r="O98" s="251"/>
      <c r="P98" s="251"/>
      <c r="Q98" s="881"/>
      <c r="R98" s="882"/>
      <c r="S98" s="882"/>
      <c r="T98" s="883"/>
      <c r="U98" s="970"/>
      <c r="V98" s="971"/>
      <c r="W98" s="971"/>
      <c r="X98" s="971"/>
      <c r="Y98" s="971"/>
      <c r="Z98" s="971"/>
      <c r="AA98" s="971"/>
      <c r="AB98" s="971"/>
      <c r="AC98" s="971"/>
      <c r="AD98" s="971"/>
      <c r="AE98" s="971"/>
      <c r="AF98" s="971"/>
      <c r="AG98" s="971"/>
      <c r="AH98" s="972"/>
    </row>
    <row r="99" spans="1:34" ht="14.1" customHeight="1">
      <c r="A99" s="245"/>
      <c r="B99" s="31"/>
      <c r="C99" s="565"/>
      <c r="D99" s="31"/>
      <c r="E99" s="877" t="str">
        <f>Cover!BU33</f>
        <v>21 PPA-Status of the supply chain</v>
      </c>
      <c r="F99" s="877"/>
      <c r="G99" s="877"/>
      <c r="H99" s="877"/>
      <c r="I99" s="877"/>
      <c r="J99" s="877"/>
      <c r="K99" s="877"/>
      <c r="L99" s="877"/>
      <c r="M99" s="877"/>
      <c r="N99" s="877"/>
      <c r="O99" s="877"/>
      <c r="P99" s="877"/>
      <c r="Q99" s="884"/>
      <c r="R99" s="885"/>
      <c r="S99" s="885"/>
      <c r="T99" s="886"/>
      <c r="U99" s="973"/>
      <c r="V99" s="974"/>
      <c r="W99" s="974"/>
      <c r="X99" s="974"/>
      <c r="Y99" s="974"/>
      <c r="Z99" s="974"/>
      <c r="AA99" s="974"/>
      <c r="AB99" s="974"/>
      <c r="AC99" s="974"/>
      <c r="AD99" s="974"/>
      <c r="AE99" s="974"/>
      <c r="AF99" s="974"/>
      <c r="AG99" s="974"/>
      <c r="AH99" s="975"/>
    </row>
    <row r="100" spans="1:34" ht="3" customHeight="1">
      <c r="A100" s="247"/>
      <c r="B100" s="248"/>
      <c r="C100" s="611"/>
      <c r="D100" s="248"/>
      <c r="E100" s="252"/>
      <c r="F100" s="252"/>
      <c r="G100" s="252"/>
      <c r="H100" s="252"/>
      <c r="I100" s="252"/>
      <c r="J100" s="252"/>
      <c r="K100" s="252"/>
      <c r="L100" s="252"/>
      <c r="M100" s="252"/>
      <c r="N100" s="252"/>
      <c r="O100" s="252"/>
      <c r="P100" s="252"/>
      <c r="Q100" s="887"/>
      <c r="R100" s="888"/>
      <c r="S100" s="888"/>
      <c r="T100" s="889"/>
      <c r="U100" s="976"/>
      <c r="V100" s="977"/>
      <c r="W100" s="977"/>
      <c r="X100" s="977"/>
      <c r="Y100" s="977"/>
      <c r="Z100" s="977"/>
      <c r="AA100" s="977"/>
      <c r="AB100" s="977"/>
      <c r="AC100" s="977"/>
      <c r="AD100" s="977"/>
      <c r="AE100" s="977"/>
      <c r="AF100" s="977"/>
      <c r="AG100" s="977"/>
      <c r="AH100" s="978"/>
    </row>
    <row r="101" spans="1:34" ht="3" customHeight="1">
      <c r="A101" s="249"/>
      <c r="B101" s="250"/>
      <c r="C101" s="610"/>
      <c r="D101" s="250"/>
      <c r="E101" s="251"/>
      <c r="F101" s="251"/>
      <c r="G101" s="251"/>
      <c r="H101" s="251"/>
      <c r="I101" s="251"/>
      <c r="J101" s="251"/>
      <c r="K101" s="251"/>
      <c r="L101" s="251"/>
      <c r="M101" s="251"/>
      <c r="N101" s="251"/>
      <c r="O101" s="251"/>
      <c r="P101" s="251"/>
      <c r="Q101" s="881"/>
      <c r="R101" s="882"/>
      <c r="S101" s="882"/>
      <c r="T101" s="883"/>
      <c r="U101" s="970"/>
      <c r="V101" s="971"/>
      <c r="W101" s="971"/>
      <c r="X101" s="971"/>
      <c r="Y101" s="971"/>
      <c r="Z101" s="971"/>
      <c r="AA101" s="971"/>
      <c r="AB101" s="971"/>
      <c r="AC101" s="971"/>
      <c r="AD101" s="971"/>
      <c r="AE101" s="971"/>
      <c r="AF101" s="971"/>
      <c r="AG101" s="971"/>
      <c r="AH101" s="972"/>
    </row>
    <row r="102" spans="1:34" ht="14.1" customHeight="1">
      <c r="A102" s="245"/>
      <c r="B102" s="31"/>
      <c r="C102" s="565"/>
      <c r="D102" s="31"/>
      <c r="E102" s="877" t="str">
        <f>Cover!BU35</f>
        <v xml:space="preserve">22 Approval of coating systems </v>
      </c>
      <c r="F102" s="877"/>
      <c r="G102" s="877"/>
      <c r="H102" s="877"/>
      <c r="I102" s="877"/>
      <c r="J102" s="877"/>
      <c r="K102" s="877"/>
      <c r="L102" s="877"/>
      <c r="M102" s="877"/>
      <c r="N102" s="877"/>
      <c r="O102" s="877"/>
      <c r="P102" s="877"/>
      <c r="Q102" s="884"/>
      <c r="R102" s="885"/>
      <c r="S102" s="885"/>
      <c r="T102" s="886"/>
      <c r="U102" s="973"/>
      <c r="V102" s="974"/>
      <c r="W102" s="974"/>
      <c r="X102" s="974"/>
      <c r="Y102" s="974"/>
      <c r="Z102" s="974"/>
      <c r="AA102" s="974"/>
      <c r="AB102" s="974"/>
      <c r="AC102" s="974"/>
      <c r="AD102" s="974"/>
      <c r="AE102" s="974"/>
      <c r="AF102" s="974"/>
      <c r="AG102" s="974"/>
      <c r="AH102" s="975"/>
    </row>
    <row r="103" spans="1:34" ht="3" customHeight="1">
      <c r="A103" s="247"/>
      <c r="B103" s="248"/>
      <c r="C103" s="611"/>
      <c r="D103" s="248"/>
      <c r="E103" s="252"/>
      <c r="F103" s="252"/>
      <c r="G103" s="220"/>
      <c r="H103" s="220"/>
      <c r="I103" s="220"/>
      <c r="J103" s="220"/>
      <c r="K103" s="220"/>
      <c r="L103" s="220"/>
      <c r="M103" s="220"/>
      <c r="N103" s="220"/>
      <c r="O103" s="220"/>
      <c r="P103" s="220"/>
      <c r="Q103" s="887"/>
      <c r="R103" s="888"/>
      <c r="S103" s="888"/>
      <c r="T103" s="889"/>
      <c r="U103" s="976"/>
      <c r="V103" s="977"/>
      <c r="W103" s="977"/>
      <c r="X103" s="977"/>
      <c r="Y103" s="977"/>
      <c r="Z103" s="977"/>
      <c r="AA103" s="977"/>
      <c r="AB103" s="977"/>
      <c r="AC103" s="977"/>
      <c r="AD103" s="977"/>
      <c r="AE103" s="977"/>
      <c r="AF103" s="977"/>
      <c r="AG103" s="977"/>
      <c r="AH103" s="978"/>
    </row>
    <row r="104" spans="1:34" ht="3" customHeight="1">
      <c r="A104" s="245"/>
      <c r="B104" s="31"/>
      <c r="C104" s="609"/>
      <c r="D104" s="31"/>
      <c r="E104" s="220"/>
      <c r="F104" s="220"/>
      <c r="G104" s="251"/>
      <c r="H104" s="251"/>
      <c r="I104" s="251"/>
      <c r="J104" s="251"/>
      <c r="K104" s="251"/>
      <c r="L104" s="251"/>
      <c r="M104" s="251"/>
      <c r="N104" s="251"/>
      <c r="O104" s="251"/>
      <c r="P104" s="251"/>
      <c r="Q104" s="881"/>
      <c r="R104" s="882"/>
      <c r="S104" s="882"/>
      <c r="T104" s="883"/>
      <c r="U104" s="970"/>
      <c r="V104" s="971"/>
      <c r="W104" s="971"/>
      <c r="X104" s="971"/>
      <c r="Y104" s="971"/>
      <c r="Z104" s="971"/>
      <c r="AA104" s="971"/>
      <c r="AB104" s="971"/>
      <c r="AC104" s="971"/>
      <c r="AD104" s="971"/>
      <c r="AE104" s="971"/>
      <c r="AF104" s="971"/>
      <c r="AG104" s="971"/>
      <c r="AH104" s="972"/>
    </row>
    <row r="105" spans="1:34" ht="14.1" customHeight="1">
      <c r="A105" s="245"/>
      <c r="B105" s="31"/>
      <c r="C105" s="565"/>
      <c r="D105" s="31"/>
      <c r="E105" s="270">
        <v>23</v>
      </c>
      <c r="F105" s="877" t="str">
        <f>Cover!BX37</f>
        <v>Other</v>
      </c>
      <c r="G105" s="877"/>
      <c r="H105" s="877"/>
      <c r="I105" s="877"/>
      <c r="J105" s="877"/>
      <c r="K105" s="877"/>
      <c r="L105" s="877"/>
      <c r="M105" s="877"/>
      <c r="N105" s="877"/>
      <c r="O105" s="877"/>
      <c r="P105" s="880"/>
      <c r="Q105" s="884"/>
      <c r="R105" s="885"/>
      <c r="S105" s="885"/>
      <c r="T105" s="886"/>
      <c r="U105" s="973"/>
      <c r="V105" s="974"/>
      <c r="W105" s="974"/>
      <c r="X105" s="974"/>
      <c r="Y105" s="974"/>
      <c r="Z105" s="974"/>
      <c r="AA105" s="974"/>
      <c r="AB105" s="974"/>
      <c r="AC105" s="974"/>
      <c r="AD105" s="974"/>
      <c r="AE105" s="974"/>
      <c r="AF105" s="974"/>
      <c r="AG105" s="974"/>
      <c r="AH105" s="975"/>
    </row>
    <row r="106" spans="1:34" ht="3" customHeight="1" thickBot="1">
      <c r="A106" s="245"/>
      <c r="B106" s="31"/>
      <c r="C106" s="31"/>
      <c r="D106" s="31"/>
      <c r="E106" s="154"/>
      <c r="F106" s="900"/>
      <c r="G106" s="900"/>
      <c r="H106" s="900"/>
      <c r="I106" s="900"/>
      <c r="J106" s="900"/>
      <c r="K106" s="900"/>
      <c r="L106" s="900"/>
      <c r="M106" s="900"/>
      <c r="N106" s="900"/>
      <c r="O106" s="900"/>
      <c r="P106" s="901"/>
      <c r="Q106" s="979"/>
      <c r="R106" s="980"/>
      <c r="S106" s="980"/>
      <c r="T106" s="981"/>
      <c r="U106" s="982"/>
      <c r="V106" s="983"/>
      <c r="W106" s="983"/>
      <c r="X106" s="983"/>
      <c r="Y106" s="983"/>
      <c r="Z106" s="983"/>
      <c r="AA106" s="983"/>
      <c r="AB106" s="983"/>
      <c r="AC106" s="983"/>
      <c r="AD106" s="983"/>
      <c r="AE106" s="983"/>
      <c r="AF106" s="983"/>
      <c r="AG106" s="983"/>
      <c r="AH106" s="984"/>
    </row>
    <row r="107" spans="1:34" ht="18" customHeight="1">
      <c r="A107" s="893" t="str">
        <f>VLOOKUP("bemerkungenlieferant",Translations!$A:$T,MATCH(Cover!DR19,Translations!A2:P2,0),0)</f>
        <v>Comments Supplier:</v>
      </c>
      <c r="B107" s="894"/>
      <c r="C107" s="894"/>
      <c r="D107" s="894"/>
      <c r="E107" s="894"/>
      <c r="F107" s="894"/>
      <c r="G107" s="894"/>
      <c r="H107" s="894"/>
      <c r="I107" s="894"/>
      <c r="J107" s="894"/>
      <c r="K107" s="894"/>
      <c r="L107" s="894"/>
      <c r="M107" s="894"/>
      <c r="N107" s="894"/>
      <c r="O107" s="894"/>
      <c r="P107" s="894"/>
      <c r="Q107" s="894"/>
      <c r="R107" s="894"/>
      <c r="S107" s="894"/>
      <c r="T107" s="894"/>
      <c r="U107" s="894"/>
      <c r="V107" s="894"/>
      <c r="W107" s="894"/>
      <c r="X107" s="894"/>
      <c r="Y107" s="894"/>
      <c r="Z107" s="894"/>
      <c r="AA107" s="894"/>
      <c r="AB107" s="894"/>
      <c r="AC107" s="894"/>
      <c r="AD107" s="894"/>
      <c r="AE107" s="894"/>
      <c r="AF107" s="894"/>
      <c r="AG107" s="894"/>
      <c r="AH107" s="895"/>
    </row>
    <row r="108" spans="1:34" ht="134.25" customHeight="1" thickBot="1">
      <c r="A108" s="890"/>
      <c r="B108" s="891"/>
      <c r="C108" s="891"/>
      <c r="D108" s="891"/>
      <c r="E108" s="891"/>
      <c r="F108" s="891"/>
      <c r="G108" s="891"/>
      <c r="H108" s="891"/>
      <c r="I108" s="891"/>
      <c r="J108" s="891"/>
      <c r="K108" s="891"/>
      <c r="L108" s="891"/>
      <c r="M108" s="891"/>
      <c r="N108" s="891"/>
      <c r="O108" s="891"/>
      <c r="P108" s="891"/>
      <c r="Q108" s="891"/>
      <c r="R108" s="891"/>
      <c r="S108" s="891"/>
      <c r="T108" s="891"/>
      <c r="U108" s="891"/>
      <c r="V108" s="891"/>
      <c r="W108" s="891"/>
      <c r="X108" s="891"/>
      <c r="Y108" s="891"/>
      <c r="Z108" s="891"/>
      <c r="AA108" s="891"/>
      <c r="AB108" s="891"/>
      <c r="AC108" s="891"/>
      <c r="AD108" s="891"/>
      <c r="AE108" s="891"/>
      <c r="AF108" s="891"/>
      <c r="AG108" s="891"/>
      <c r="AH108" s="892"/>
    </row>
    <row r="109" spans="1:34" ht="16.5" customHeight="1">
      <c r="A109" s="902" t="str">
        <f>Cover!B69</f>
        <v>Name:</v>
      </c>
      <c r="B109" s="903"/>
      <c r="C109" s="903"/>
      <c r="D109" s="903"/>
      <c r="E109" s="903"/>
      <c r="F109" s="903"/>
      <c r="G109" s="903"/>
      <c r="H109" s="908"/>
      <c r="I109" s="908"/>
      <c r="J109" s="908"/>
      <c r="K109" s="908"/>
      <c r="L109" s="908"/>
      <c r="M109" s="908"/>
      <c r="N109" s="908"/>
      <c r="O109" s="908"/>
      <c r="P109" s="908"/>
      <c r="Q109" s="908"/>
      <c r="R109" s="908"/>
      <c r="S109" s="908"/>
      <c r="T109" s="908"/>
      <c r="U109" s="908"/>
      <c r="V109" s="908"/>
      <c r="W109" s="908"/>
      <c r="X109" s="908"/>
      <c r="Y109" s="908"/>
      <c r="Z109" s="908"/>
      <c r="AA109" s="908"/>
      <c r="AB109" s="908"/>
      <c r="AC109" s="908"/>
      <c r="AD109" s="908"/>
      <c r="AE109" s="908"/>
      <c r="AF109" s="908"/>
      <c r="AG109" s="908"/>
      <c r="AH109" s="909"/>
    </row>
    <row r="110" spans="1:34" ht="16.5" customHeight="1">
      <c r="A110" s="904" t="str">
        <f>Cover!B70</f>
        <v>Department:</v>
      </c>
      <c r="B110" s="905"/>
      <c r="C110" s="905"/>
      <c r="D110" s="905"/>
      <c r="E110" s="905"/>
      <c r="F110" s="905"/>
      <c r="G110" s="905"/>
      <c r="H110" s="878"/>
      <c r="I110" s="878"/>
      <c r="J110" s="878"/>
      <c r="K110" s="878"/>
      <c r="L110" s="878"/>
      <c r="M110" s="878"/>
      <c r="N110" s="878"/>
      <c r="O110" s="878"/>
      <c r="P110" s="878"/>
      <c r="Q110" s="878"/>
      <c r="R110" s="878"/>
      <c r="S110" s="878"/>
      <c r="T110" s="878"/>
      <c r="U110" s="878"/>
      <c r="V110" s="878"/>
      <c r="W110" s="878"/>
      <c r="X110" s="878"/>
      <c r="Y110" s="878"/>
      <c r="Z110" s="878"/>
      <c r="AA110" s="878"/>
      <c r="AB110" s="878"/>
      <c r="AC110" s="878"/>
      <c r="AD110" s="878"/>
      <c r="AE110" s="878"/>
      <c r="AF110" s="878"/>
      <c r="AG110" s="878"/>
      <c r="AH110" s="879"/>
    </row>
    <row r="111" spans="1:34" ht="16.5" customHeight="1">
      <c r="A111" s="906" t="str">
        <f>Cover!L47</f>
        <v>Phone:</v>
      </c>
      <c r="B111" s="907"/>
      <c r="C111" s="907"/>
      <c r="D111" s="907"/>
      <c r="E111" s="907"/>
      <c r="F111" s="907"/>
      <c r="G111" s="907"/>
      <c r="H111" s="878"/>
      <c r="I111" s="878"/>
      <c r="J111" s="878"/>
      <c r="K111" s="878"/>
      <c r="L111" s="878"/>
      <c r="M111" s="878"/>
      <c r="N111" s="878"/>
      <c r="O111" s="878"/>
      <c r="P111" s="878"/>
      <c r="Q111" s="878"/>
      <c r="R111" s="878"/>
      <c r="S111" s="878"/>
      <c r="T111" s="878"/>
      <c r="U111" s="878"/>
      <c r="V111" s="878"/>
      <c r="W111" s="878"/>
      <c r="X111" s="878"/>
      <c r="Y111" s="878"/>
      <c r="Z111" s="878"/>
      <c r="AA111" s="878"/>
      <c r="AB111" s="878"/>
      <c r="AC111" s="878"/>
      <c r="AD111" s="878"/>
      <c r="AE111" s="878"/>
      <c r="AF111" s="878"/>
      <c r="AG111" s="878"/>
      <c r="AH111" s="879"/>
    </row>
    <row r="112" spans="1:34" ht="16.5" customHeight="1">
      <c r="A112" s="906" t="s">
        <v>72</v>
      </c>
      <c r="B112" s="907"/>
      <c r="C112" s="907"/>
      <c r="D112" s="907"/>
      <c r="E112" s="907"/>
      <c r="F112" s="907"/>
      <c r="G112" s="907"/>
      <c r="H112" s="878"/>
      <c r="I112" s="878"/>
      <c r="J112" s="878"/>
      <c r="K112" s="878"/>
      <c r="L112" s="878"/>
      <c r="M112" s="878"/>
      <c r="N112" s="878"/>
      <c r="O112" s="878"/>
      <c r="P112" s="878"/>
      <c r="Q112" s="878"/>
      <c r="R112" s="878"/>
      <c r="S112" s="878"/>
      <c r="T112" s="878"/>
      <c r="U112" s="878"/>
      <c r="V112" s="878"/>
      <c r="W112" s="878"/>
      <c r="X112" s="878"/>
      <c r="Y112" s="878"/>
      <c r="Z112" s="878"/>
      <c r="AA112" s="878"/>
      <c r="AB112" s="878"/>
      <c r="AC112" s="878"/>
      <c r="AD112" s="878"/>
      <c r="AE112" s="878"/>
      <c r="AF112" s="878"/>
      <c r="AG112" s="878"/>
      <c r="AH112" s="879"/>
    </row>
    <row r="113" spans="1:34" ht="16.5" customHeight="1">
      <c r="A113" s="906" t="s">
        <v>478</v>
      </c>
      <c r="B113" s="907"/>
      <c r="C113" s="907"/>
      <c r="D113" s="907"/>
      <c r="E113" s="907"/>
      <c r="F113" s="907"/>
      <c r="G113" s="907"/>
      <c r="H113" s="878"/>
      <c r="I113" s="878"/>
      <c r="J113" s="878"/>
      <c r="K113" s="878"/>
      <c r="L113" s="878"/>
      <c r="M113" s="878"/>
      <c r="N113" s="878"/>
      <c r="O113" s="878"/>
      <c r="P113" s="878"/>
      <c r="Q113" s="878"/>
      <c r="R113" s="878"/>
      <c r="S113" s="878"/>
      <c r="T113" s="878"/>
      <c r="U113" s="878"/>
      <c r="V113" s="878"/>
      <c r="W113" s="878"/>
      <c r="X113" s="878"/>
      <c r="Y113" s="878"/>
      <c r="Z113" s="878"/>
      <c r="AA113" s="878"/>
      <c r="AB113" s="878"/>
      <c r="AC113" s="878"/>
      <c r="AD113" s="878"/>
      <c r="AE113" s="878"/>
      <c r="AF113" s="878"/>
      <c r="AG113" s="878"/>
      <c r="AH113" s="879"/>
    </row>
    <row r="114" spans="1:34" ht="44.25" customHeight="1" thickBot="1">
      <c r="A114" s="910" t="str">
        <f>Cover!AC71</f>
        <v>Date:</v>
      </c>
      <c r="B114" s="911"/>
      <c r="C114" s="911"/>
      <c r="D114" s="911"/>
      <c r="E114" s="911"/>
      <c r="F114" s="911"/>
      <c r="G114" s="911"/>
      <c r="H114" s="899"/>
      <c r="I114" s="897"/>
      <c r="J114" s="897"/>
      <c r="K114" s="897"/>
      <c r="L114" s="897"/>
      <c r="M114" s="897"/>
      <c r="N114" s="896" t="str">
        <f>Cover!BD71</f>
        <v>Signature:</v>
      </c>
      <c r="O114" s="896"/>
      <c r="P114" s="896"/>
      <c r="Q114" s="897"/>
      <c r="R114" s="897"/>
      <c r="S114" s="897"/>
      <c r="T114" s="897"/>
      <c r="U114" s="897"/>
      <c r="V114" s="897"/>
      <c r="W114" s="897"/>
      <c r="X114" s="897"/>
      <c r="Y114" s="897"/>
      <c r="Z114" s="897"/>
      <c r="AA114" s="897"/>
      <c r="AB114" s="897"/>
      <c r="AC114" s="897"/>
      <c r="AD114" s="897"/>
      <c r="AE114" s="897"/>
      <c r="AF114" s="897"/>
      <c r="AG114" s="897"/>
      <c r="AH114" s="898"/>
    </row>
  </sheetData>
  <sheetProtection password="8A5F" sheet="1" scenarios="1" formatCells="0" formatColumns="0" formatRows="0" selectLockedCells="1"/>
  <mergeCells count="140">
    <mergeCell ref="U71:AH73"/>
    <mergeCell ref="U101:AH103"/>
    <mergeCell ref="U104:AH106"/>
    <mergeCell ref="U74:AH76"/>
    <mergeCell ref="U77:AH79"/>
    <mergeCell ref="U80:AH82"/>
    <mergeCell ref="U83:AH85"/>
    <mergeCell ref="U86:AH88"/>
    <mergeCell ref="U89:AH91"/>
    <mergeCell ref="U92:AH94"/>
    <mergeCell ref="U95:AH97"/>
    <mergeCell ref="U98:AH100"/>
    <mergeCell ref="U44:AH46"/>
    <mergeCell ref="U47:AH49"/>
    <mergeCell ref="U50:AH52"/>
    <mergeCell ref="U53:AH55"/>
    <mergeCell ref="U56:AH58"/>
    <mergeCell ref="U59:AH61"/>
    <mergeCell ref="U62:AH64"/>
    <mergeCell ref="U65:AH67"/>
    <mergeCell ref="U68:AH70"/>
    <mergeCell ref="U17:AH19"/>
    <mergeCell ref="U20:AH22"/>
    <mergeCell ref="U23:AH25"/>
    <mergeCell ref="U26:AH28"/>
    <mergeCell ref="U29:AH31"/>
    <mergeCell ref="U32:AH34"/>
    <mergeCell ref="U35:AH37"/>
    <mergeCell ref="U38:AH40"/>
    <mergeCell ref="U41:AH43"/>
    <mergeCell ref="Q80:T82"/>
    <mergeCell ref="Q83:T85"/>
    <mergeCell ref="Q86:T88"/>
    <mergeCell ref="Q89:T91"/>
    <mergeCell ref="Q92:T94"/>
    <mergeCell ref="Q95:T97"/>
    <mergeCell ref="Q98:T100"/>
    <mergeCell ref="Q101:T103"/>
    <mergeCell ref="Q104:T106"/>
    <mergeCell ref="Q14:T16"/>
    <mergeCell ref="Q17:T19"/>
    <mergeCell ref="Q20:T22"/>
    <mergeCell ref="E27:P27"/>
    <mergeCell ref="X7:AH7"/>
    <mergeCell ref="X8:AH8"/>
    <mergeCell ref="Q8:W8"/>
    <mergeCell ref="Q7:W7"/>
    <mergeCell ref="A8:H8"/>
    <mergeCell ref="I8:P8"/>
    <mergeCell ref="E24:P24"/>
    <mergeCell ref="Q23:T25"/>
    <mergeCell ref="Q26:T28"/>
    <mergeCell ref="I7:P7"/>
    <mergeCell ref="Q10:T10"/>
    <mergeCell ref="E12:P12"/>
    <mergeCell ref="A10:P10"/>
    <mergeCell ref="E15:P15"/>
    <mergeCell ref="E18:P18"/>
    <mergeCell ref="E21:P21"/>
    <mergeCell ref="Q11:T13"/>
    <mergeCell ref="U10:AH10"/>
    <mergeCell ref="U11:AH13"/>
    <mergeCell ref="U14:AH16"/>
    <mergeCell ref="A1:AH3"/>
    <mergeCell ref="A6:H6"/>
    <mergeCell ref="A7:H7"/>
    <mergeCell ref="AC6:AE6"/>
    <mergeCell ref="A4:J4"/>
    <mergeCell ref="K4:P4"/>
    <mergeCell ref="Q4:W4"/>
    <mergeCell ref="Q5:W5"/>
    <mergeCell ref="Q6:W6"/>
    <mergeCell ref="X4:AH4"/>
    <mergeCell ref="X5:AH5"/>
    <mergeCell ref="X6:AB6"/>
    <mergeCell ref="AF6:AH6"/>
    <mergeCell ref="A5:I5"/>
    <mergeCell ref="J5:P5"/>
    <mergeCell ref="I6:M6"/>
    <mergeCell ref="O6:P6"/>
    <mergeCell ref="E93:P93"/>
    <mergeCell ref="E96:P96"/>
    <mergeCell ref="E30:P30"/>
    <mergeCell ref="E33:P33"/>
    <mergeCell ref="E48:P48"/>
    <mergeCell ref="E57:P57"/>
    <mergeCell ref="E54:P54"/>
    <mergeCell ref="Q41:T43"/>
    <mergeCell ref="Q44:T46"/>
    <mergeCell ref="Q47:T49"/>
    <mergeCell ref="Q50:T52"/>
    <mergeCell ref="Q53:T55"/>
    <mergeCell ref="Q56:T58"/>
    <mergeCell ref="Q29:T31"/>
    <mergeCell ref="Q32:T34"/>
    <mergeCell ref="Q35:T37"/>
    <mergeCell ref="Q38:T40"/>
    <mergeCell ref="E36:P36"/>
    <mergeCell ref="E39:P39"/>
    <mergeCell ref="E42:P42"/>
    <mergeCell ref="E45:P45"/>
    <mergeCell ref="E51:P51"/>
    <mergeCell ref="Q74:T76"/>
    <mergeCell ref="Q77:T79"/>
    <mergeCell ref="H113:AH113"/>
    <mergeCell ref="N114:P114"/>
    <mergeCell ref="Q114:AH114"/>
    <mergeCell ref="H114:M114"/>
    <mergeCell ref="F106:P106"/>
    <mergeCell ref="A109:G109"/>
    <mergeCell ref="A110:G110"/>
    <mergeCell ref="A111:G111"/>
    <mergeCell ref="A112:G112"/>
    <mergeCell ref="A113:G113"/>
    <mergeCell ref="H109:AH109"/>
    <mergeCell ref="A114:G114"/>
    <mergeCell ref="E102:P102"/>
    <mergeCell ref="H111:AH111"/>
    <mergeCell ref="H112:AH112"/>
    <mergeCell ref="H110:AH110"/>
    <mergeCell ref="E60:P60"/>
    <mergeCell ref="E69:P69"/>
    <mergeCell ref="E90:P90"/>
    <mergeCell ref="E81:P81"/>
    <mergeCell ref="F105:P105"/>
    <mergeCell ref="Q59:T61"/>
    <mergeCell ref="Q62:T64"/>
    <mergeCell ref="Q65:T67"/>
    <mergeCell ref="A108:AH108"/>
    <mergeCell ref="A107:AH107"/>
    <mergeCell ref="E87:P87"/>
    <mergeCell ref="E72:P72"/>
    <mergeCell ref="E63:P63"/>
    <mergeCell ref="E66:P66"/>
    <mergeCell ref="E84:P84"/>
    <mergeCell ref="E75:P75"/>
    <mergeCell ref="E78:P78"/>
    <mergeCell ref="E99:P99"/>
    <mergeCell ref="Q68:T70"/>
    <mergeCell ref="Q71:T73"/>
  </mergeCells>
  <phoneticPr fontId="40" type="noConversion"/>
  <printOptions horizontalCentered="1"/>
  <pageMargins left="0.6692913385826772" right="0.47244094488188981" top="0.43307086614173229" bottom="0.31496062992125984" header="0.27559055118110237" footer="0.19685039370078741"/>
  <pageSetup paperSize="9" scale="73" orientation="portrait" r:id="rId1"/>
  <headerFooter>
    <oddHeader>&amp;R&amp;G</oddHeader>
    <oddFooter>&amp;LMHG-PU-F-0019&amp;CPPA-Template ; Rev.: 01/2019&amp;RJ.-U. Liedtke / PU-SD-GA</oddFooter>
  </headerFooter>
  <legacyDrawingHF r:id="rId2"/>
  <extLst>
    <ext xmlns:mx="http://schemas.microsoft.com/office/mac/excel/2008/main" uri="{64002731-A6B0-56B0-2670-7721B7C09600}">
      <mx:PLV Mode="1"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6">
    <pageSetUpPr fitToPage="1"/>
  </sheetPr>
  <dimension ref="A1:BA147"/>
  <sheetViews>
    <sheetView showGridLines="0" zoomScaleNormal="100" workbookViewId="0">
      <selection activeCell="K46" sqref="K46:L48"/>
    </sheetView>
  </sheetViews>
  <sheetFormatPr baseColWidth="10" defaultColWidth="9.140625" defaultRowHeight="12.75"/>
  <cols>
    <col min="1" max="1" width="0.7109375" style="24" customWidth="1"/>
    <col min="2" max="2" width="3" style="24" customWidth="1"/>
    <col min="3" max="3" width="0.5703125" style="24" customWidth="1"/>
    <col min="4" max="4" width="2" style="24" customWidth="1"/>
    <col min="5" max="5" width="2.140625" style="24" customWidth="1"/>
    <col min="6" max="6" width="4" style="24" customWidth="1"/>
    <col min="7" max="7" width="5.140625" style="24" customWidth="1"/>
    <col min="8" max="8" width="6.85546875" style="24" customWidth="1"/>
    <col min="9" max="10" width="3.42578125" style="24" customWidth="1"/>
    <col min="11" max="11" width="3.5703125" style="24" customWidth="1"/>
    <col min="12" max="12" width="4.140625" style="24" customWidth="1"/>
    <col min="13" max="13" width="3.42578125" style="24" customWidth="1"/>
    <col min="14" max="14" width="4.140625" style="24" customWidth="1"/>
    <col min="15" max="15" width="3.85546875" style="24" customWidth="1"/>
    <col min="16" max="16" width="3.42578125" style="24" customWidth="1"/>
    <col min="17" max="17" width="4.140625" style="24" customWidth="1"/>
    <col min="18" max="18" width="3.42578125" style="24" customWidth="1"/>
    <col min="19" max="19" width="3" style="24" customWidth="1"/>
    <col min="20" max="20" width="3.42578125" style="24" customWidth="1"/>
    <col min="21" max="21" width="0.7109375" style="24" customWidth="1"/>
    <col min="22" max="22" width="1.42578125" style="24" customWidth="1"/>
    <col min="23" max="23" width="1" style="24" customWidth="1"/>
    <col min="24" max="24" width="0.42578125" style="24" customWidth="1"/>
    <col min="25" max="25" width="0.5703125" style="24" customWidth="1"/>
    <col min="26" max="26" width="1" style="24" customWidth="1"/>
    <col min="27" max="27" width="1.7109375" style="24" customWidth="1"/>
    <col min="28" max="28" width="1.85546875" style="24" customWidth="1"/>
    <col min="29" max="29" width="3" style="24" customWidth="1"/>
    <col min="30" max="30" width="1.85546875" style="24" customWidth="1"/>
    <col min="31" max="31" width="3.42578125" style="24" customWidth="1"/>
    <col min="32" max="32" width="3.85546875" style="24" customWidth="1"/>
    <col min="33" max="37" width="3.42578125" style="24" customWidth="1"/>
    <col min="38" max="38" width="2.42578125" style="24" customWidth="1"/>
    <col min="39" max="40" width="1.42578125" style="24" customWidth="1"/>
    <col min="41" max="41" width="6.5703125" style="24" customWidth="1"/>
    <col min="42" max="43" width="3.42578125" style="24" customWidth="1"/>
    <col min="44" max="44" width="2.28515625" style="24" customWidth="1"/>
    <col min="45" max="45" width="3" style="24" customWidth="1"/>
    <col min="46" max="46" width="2.140625" style="24" customWidth="1"/>
    <col min="47" max="47" width="3.42578125" style="24" customWidth="1"/>
    <col min="48" max="16384" width="9.140625" style="24"/>
  </cols>
  <sheetData>
    <row r="1" spans="1:50" ht="9" customHeight="1"/>
    <row r="2" spans="1:50" ht="12.75" customHeight="1">
      <c r="A2" s="912" t="str">
        <f>VLOOKUP("produktbezogene prüfergebnisse",Translations!$A:$T,MATCH(Cover!DR19,Translations!A2:P2,0),0)</f>
        <v>Product-related test results</v>
      </c>
      <c r="B2" s="912"/>
      <c r="C2" s="912"/>
      <c r="D2" s="912"/>
      <c r="E2" s="912"/>
      <c r="F2" s="912"/>
      <c r="G2" s="912"/>
      <c r="H2" s="912"/>
      <c r="I2" s="912"/>
      <c r="J2" s="912"/>
      <c r="K2" s="912"/>
      <c r="L2" s="912"/>
      <c r="M2" s="912"/>
      <c r="N2" s="912"/>
      <c r="O2" s="912"/>
      <c r="P2" s="912"/>
      <c r="Q2" s="912"/>
      <c r="R2" s="912"/>
      <c r="S2" s="912"/>
      <c r="T2" s="912"/>
      <c r="U2" s="912"/>
      <c r="V2" s="912"/>
      <c r="W2" s="912"/>
      <c r="X2" s="912"/>
      <c r="Y2" s="912"/>
      <c r="Z2" s="912"/>
      <c r="AA2" s="912"/>
      <c r="AB2" s="912"/>
      <c r="AC2" s="912"/>
      <c r="AD2" s="912"/>
      <c r="AE2" s="912"/>
      <c r="AF2" s="912"/>
      <c r="AG2" s="912"/>
      <c r="AH2" s="64"/>
    </row>
    <row r="3" spans="1:50" ht="12.75" customHeight="1">
      <c r="A3" s="912"/>
      <c r="B3" s="912"/>
      <c r="C3" s="912"/>
      <c r="D3" s="912"/>
      <c r="E3" s="912"/>
      <c r="F3" s="912"/>
      <c r="G3" s="912"/>
      <c r="H3" s="912"/>
      <c r="I3" s="912"/>
      <c r="J3" s="912"/>
      <c r="K3" s="912"/>
      <c r="L3" s="912"/>
      <c r="M3" s="912"/>
      <c r="N3" s="912"/>
      <c r="O3" s="912"/>
      <c r="P3" s="912"/>
      <c r="Q3" s="912"/>
      <c r="R3" s="912"/>
      <c r="S3" s="912"/>
      <c r="T3" s="912"/>
      <c r="U3" s="912"/>
      <c r="V3" s="912"/>
      <c r="W3" s="912"/>
      <c r="X3" s="912"/>
      <c r="Y3" s="912"/>
      <c r="Z3" s="912"/>
      <c r="AA3" s="912"/>
      <c r="AB3" s="912"/>
      <c r="AC3" s="912"/>
      <c r="AD3" s="912"/>
      <c r="AE3" s="912"/>
      <c r="AF3" s="912"/>
      <c r="AG3" s="912"/>
      <c r="AH3" s="64"/>
    </row>
    <row r="4" spans="1:50" ht="10.5" customHeight="1">
      <c r="A4" s="912"/>
      <c r="B4" s="912"/>
      <c r="C4" s="912"/>
      <c r="D4" s="912"/>
      <c r="E4" s="912"/>
      <c r="F4" s="912"/>
      <c r="G4" s="912"/>
      <c r="H4" s="912"/>
      <c r="I4" s="912"/>
      <c r="J4" s="912"/>
      <c r="K4" s="912"/>
      <c r="L4" s="912"/>
      <c r="M4" s="912"/>
      <c r="N4" s="912"/>
      <c r="O4" s="912"/>
      <c r="P4" s="912"/>
      <c r="Q4" s="912"/>
      <c r="R4" s="912"/>
      <c r="S4" s="912"/>
      <c r="T4" s="912"/>
      <c r="U4" s="912"/>
      <c r="V4" s="912"/>
      <c r="W4" s="912"/>
      <c r="X4" s="912"/>
      <c r="Y4" s="912"/>
      <c r="Z4" s="912"/>
      <c r="AA4" s="912"/>
      <c r="AB4" s="912"/>
      <c r="AC4" s="912"/>
      <c r="AD4" s="912"/>
      <c r="AE4" s="912"/>
      <c r="AF4" s="912"/>
      <c r="AG4" s="912"/>
    </row>
    <row r="5" spans="1:50" ht="15" customHeight="1">
      <c r="B5" s="113"/>
      <c r="C5" s="113"/>
      <c r="D5" s="113"/>
      <c r="E5" s="113"/>
      <c r="F5" s="1143" t="str">
        <f>VLOOKUP("blatt",Translations!$A:$T,MATCH(Cover!DR19,Translations!A2:P2,0),0)</f>
        <v>Page</v>
      </c>
      <c r="G5" s="1143"/>
      <c r="H5" s="406"/>
      <c r="I5" s="1143" t="str">
        <f>VLOOKUP("vonvv",Translations!$A:$T,MATCH(Cover!DR19,Translations!A2:P2,0),0)</f>
        <v>of</v>
      </c>
      <c r="J5" s="1143"/>
      <c r="K5" s="1151"/>
      <c r="L5" s="1151"/>
      <c r="M5" s="257"/>
      <c r="N5" s="113"/>
      <c r="O5" s="113"/>
      <c r="P5" s="113"/>
      <c r="Q5" s="113"/>
      <c r="R5" s="113"/>
      <c r="S5" s="113"/>
      <c r="T5" s="113"/>
      <c r="U5" s="113"/>
      <c r="V5" s="113"/>
      <c r="W5" s="113"/>
      <c r="X5" s="113"/>
      <c r="Y5" s="113"/>
      <c r="Z5" s="113"/>
      <c r="AA5" s="113"/>
      <c r="AB5" s="113"/>
      <c r="AC5" s="113"/>
      <c r="AD5" s="113"/>
      <c r="AE5" s="113"/>
      <c r="AF5" s="1143" t="str">
        <f>VLOOKUP("standyy",Translations!$A:$T,MATCH(Cover!DR19,Translations!A2:P2,0),0)</f>
        <v>Status:</v>
      </c>
      <c r="AG5" s="1143"/>
      <c r="AH5" s="1143"/>
      <c r="AI5" s="1157"/>
      <c r="AJ5" s="1157"/>
      <c r="AK5" s="1157"/>
      <c r="AL5" s="1157"/>
      <c r="AM5" s="1143" t="str">
        <f>VLOOKUP("ydatumf",Translations!$A:$T,MATCH(Cover!DR19,Translations!A2:P2,0),0)</f>
        <v>/ Date:</v>
      </c>
      <c r="AN5" s="1143"/>
      <c r="AO5" s="1143"/>
      <c r="AP5" s="1150"/>
      <c r="AQ5" s="1151"/>
      <c r="AR5" s="1151"/>
      <c r="AS5" s="1151"/>
      <c r="AT5" s="1151"/>
      <c r="AX5" s="608"/>
    </row>
    <row r="6" spans="1:50" ht="4.5" customHeight="1" thickBot="1"/>
    <row r="7" spans="1:50" ht="3" customHeight="1">
      <c r="A7" s="279"/>
      <c r="B7" s="280"/>
      <c r="C7" s="280"/>
      <c r="D7" s="1148" t="str">
        <f>Content!E12</f>
        <v>1.1 Geometry, dimensional check</v>
      </c>
      <c r="E7" s="1148"/>
      <c r="F7" s="1148"/>
      <c r="G7" s="1148"/>
      <c r="H7" s="1148"/>
      <c r="I7" s="1148"/>
      <c r="J7" s="1148"/>
      <c r="K7" s="1148"/>
      <c r="L7" s="1148"/>
      <c r="M7" s="1148"/>
      <c r="N7" s="1148"/>
      <c r="O7" s="1148"/>
      <c r="P7" s="1148"/>
      <c r="Q7" s="1148"/>
      <c r="R7" s="1148"/>
      <c r="S7" s="1148"/>
      <c r="T7" s="1149"/>
      <c r="U7" s="613"/>
      <c r="V7" s="614"/>
      <c r="W7" s="614"/>
      <c r="X7" s="614"/>
      <c r="Y7" s="614"/>
      <c r="Z7" s="1148" t="str">
        <f>Cover!M23</f>
        <v>1.9 ESD test</v>
      </c>
      <c r="AA7" s="1148"/>
      <c r="AB7" s="1148"/>
      <c r="AC7" s="1148"/>
      <c r="AD7" s="1148"/>
      <c r="AE7" s="1148"/>
      <c r="AF7" s="1148"/>
      <c r="AG7" s="1148"/>
      <c r="AH7" s="1148"/>
      <c r="AI7" s="1148"/>
      <c r="AJ7" s="1148"/>
      <c r="AK7" s="1148"/>
      <c r="AL7" s="1148"/>
      <c r="AM7" s="1148"/>
      <c r="AN7" s="1148"/>
      <c r="AO7" s="1148"/>
      <c r="AP7" s="1148"/>
      <c r="AQ7" s="1148"/>
      <c r="AR7" s="1148"/>
      <c r="AS7" s="1148"/>
      <c r="AT7" s="1148"/>
      <c r="AU7" s="1149"/>
    </row>
    <row r="8" spans="1:50" ht="15.75" customHeight="1">
      <c r="A8" s="281"/>
      <c r="B8" s="565" t="s">
        <v>653</v>
      </c>
      <c r="C8" s="282"/>
      <c r="D8" s="1146"/>
      <c r="E8" s="1146"/>
      <c r="F8" s="1146"/>
      <c r="G8" s="1146"/>
      <c r="H8" s="1146"/>
      <c r="I8" s="1146"/>
      <c r="J8" s="1146"/>
      <c r="K8" s="1146"/>
      <c r="L8" s="1146"/>
      <c r="M8" s="1146"/>
      <c r="N8" s="1146"/>
      <c r="O8" s="1146"/>
      <c r="P8" s="1146"/>
      <c r="Q8" s="1146"/>
      <c r="R8" s="1146"/>
      <c r="S8" s="1146"/>
      <c r="T8" s="1147"/>
      <c r="U8" s="606"/>
      <c r="V8" s="1152"/>
      <c r="W8" s="1153"/>
      <c r="X8" s="1154"/>
      <c r="Y8" s="607"/>
      <c r="Z8" s="1146"/>
      <c r="AA8" s="1146"/>
      <c r="AB8" s="1146"/>
      <c r="AC8" s="1146"/>
      <c r="AD8" s="1146"/>
      <c r="AE8" s="1146"/>
      <c r="AF8" s="1146"/>
      <c r="AG8" s="1146"/>
      <c r="AH8" s="1146"/>
      <c r="AI8" s="1146"/>
      <c r="AJ8" s="1146"/>
      <c r="AK8" s="1146"/>
      <c r="AL8" s="1146"/>
      <c r="AM8" s="1146"/>
      <c r="AN8" s="1146"/>
      <c r="AO8" s="1146"/>
      <c r="AP8" s="1146"/>
      <c r="AQ8" s="1146"/>
      <c r="AR8" s="1146"/>
      <c r="AS8" s="1146"/>
      <c r="AT8" s="1146"/>
      <c r="AU8" s="1147"/>
    </row>
    <row r="9" spans="1:50" ht="3" customHeight="1">
      <c r="A9" s="281"/>
      <c r="B9" s="478"/>
      <c r="C9" s="282"/>
      <c r="D9" s="1146"/>
      <c r="E9" s="1146"/>
      <c r="F9" s="1146"/>
      <c r="G9" s="1146"/>
      <c r="H9" s="1146"/>
      <c r="I9" s="1146"/>
      <c r="J9" s="1146"/>
      <c r="K9" s="1146"/>
      <c r="L9" s="1146"/>
      <c r="M9" s="1146"/>
      <c r="N9" s="1146"/>
      <c r="O9" s="1146"/>
      <c r="P9" s="1146"/>
      <c r="Q9" s="1146"/>
      <c r="R9" s="1146"/>
      <c r="S9" s="1146"/>
      <c r="T9" s="1147"/>
      <c r="U9" s="606"/>
      <c r="V9" s="496"/>
      <c r="W9" s="496"/>
      <c r="X9" s="421"/>
      <c r="Y9" s="421"/>
      <c r="Z9" s="1146"/>
      <c r="AA9" s="1146"/>
      <c r="AB9" s="1146"/>
      <c r="AC9" s="1146"/>
      <c r="AD9" s="1146"/>
      <c r="AE9" s="1146"/>
      <c r="AF9" s="1146"/>
      <c r="AG9" s="1146"/>
      <c r="AH9" s="1146"/>
      <c r="AI9" s="1146"/>
      <c r="AJ9" s="1146"/>
      <c r="AK9" s="1146"/>
      <c r="AL9" s="1146"/>
      <c r="AM9" s="1146"/>
      <c r="AN9" s="1146"/>
      <c r="AO9" s="1146"/>
      <c r="AP9" s="1146"/>
      <c r="AQ9" s="1146"/>
      <c r="AR9" s="1146"/>
      <c r="AS9" s="1146"/>
      <c r="AT9" s="1146"/>
      <c r="AU9" s="1147"/>
    </row>
    <row r="10" spans="1:50" ht="3" customHeight="1">
      <c r="A10" s="281"/>
      <c r="B10" s="478"/>
      <c r="C10" s="282"/>
      <c r="D10" s="1146" t="str">
        <f>Content!E15</f>
        <v>1.2 Function check</v>
      </c>
      <c r="E10" s="1146"/>
      <c r="F10" s="1146"/>
      <c r="G10" s="1146"/>
      <c r="H10" s="1146"/>
      <c r="I10" s="1146"/>
      <c r="J10" s="1146"/>
      <c r="K10" s="1146"/>
      <c r="L10" s="1146"/>
      <c r="M10" s="1146"/>
      <c r="N10" s="1146"/>
      <c r="O10" s="1146"/>
      <c r="P10" s="1146"/>
      <c r="Q10" s="1146"/>
      <c r="R10" s="1146"/>
      <c r="S10" s="1146"/>
      <c r="T10" s="1147"/>
      <c r="U10" s="421"/>
      <c r="V10" s="496"/>
      <c r="W10" s="496"/>
      <c r="X10" s="421"/>
      <c r="Y10" s="421"/>
      <c r="Z10" s="1146" t="str">
        <f>Cover!M25</f>
        <v>1.10 Reliability tests</v>
      </c>
      <c r="AA10" s="1146"/>
      <c r="AB10" s="1146"/>
      <c r="AC10" s="1146"/>
      <c r="AD10" s="1146"/>
      <c r="AE10" s="1146"/>
      <c r="AF10" s="1146"/>
      <c r="AG10" s="1146"/>
      <c r="AH10" s="1146"/>
      <c r="AI10" s="1146"/>
      <c r="AJ10" s="1146"/>
      <c r="AK10" s="1146"/>
      <c r="AL10" s="1146"/>
      <c r="AM10" s="1146"/>
      <c r="AN10" s="1146"/>
      <c r="AO10" s="1146"/>
      <c r="AP10" s="1146"/>
      <c r="AQ10" s="1146"/>
      <c r="AR10" s="1146"/>
      <c r="AS10" s="1146"/>
      <c r="AT10" s="1146"/>
      <c r="AU10" s="1147"/>
    </row>
    <row r="11" spans="1:50" ht="15.75" customHeight="1">
      <c r="A11" s="281"/>
      <c r="B11" s="565"/>
      <c r="C11" s="282"/>
      <c r="D11" s="1146"/>
      <c r="E11" s="1146"/>
      <c r="F11" s="1146"/>
      <c r="G11" s="1146"/>
      <c r="H11" s="1146"/>
      <c r="I11" s="1146"/>
      <c r="J11" s="1146"/>
      <c r="K11" s="1146"/>
      <c r="L11" s="1146"/>
      <c r="M11" s="1146"/>
      <c r="N11" s="1146"/>
      <c r="O11" s="1146"/>
      <c r="P11" s="1146"/>
      <c r="Q11" s="1146"/>
      <c r="R11" s="1146"/>
      <c r="S11" s="1146"/>
      <c r="T11" s="1147"/>
      <c r="U11" s="421"/>
      <c r="V11" s="1152"/>
      <c r="W11" s="1153"/>
      <c r="X11" s="1154"/>
      <c r="Y11" s="607"/>
      <c r="Z11" s="1146"/>
      <c r="AA11" s="1146"/>
      <c r="AB11" s="1146"/>
      <c r="AC11" s="1146"/>
      <c r="AD11" s="1146"/>
      <c r="AE11" s="1146"/>
      <c r="AF11" s="1146"/>
      <c r="AG11" s="1146"/>
      <c r="AH11" s="1146"/>
      <c r="AI11" s="1146"/>
      <c r="AJ11" s="1146"/>
      <c r="AK11" s="1146"/>
      <c r="AL11" s="1146"/>
      <c r="AM11" s="1146"/>
      <c r="AN11" s="1146"/>
      <c r="AO11" s="1146"/>
      <c r="AP11" s="1146"/>
      <c r="AQ11" s="1146"/>
      <c r="AR11" s="1146"/>
      <c r="AS11" s="1146"/>
      <c r="AT11" s="1146"/>
      <c r="AU11" s="1147"/>
    </row>
    <row r="12" spans="1:50" ht="3" customHeight="1">
      <c r="A12" s="281"/>
      <c r="B12" s="478"/>
      <c r="C12" s="282"/>
      <c r="D12" s="1146"/>
      <c r="E12" s="1146"/>
      <c r="F12" s="1146"/>
      <c r="G12" s="1146"/>
      <c r="H12" s="1146"/>
      <c r="I12" s="1146"/>
      <c r="J12" s="1146"/>
      <c r="K12" s="1146"/>
      <c r="L12" s="1146"/>
      <c r="M12" s="1146"/>
      <c r="N12" s="1146"/>
      <c r="O12" s="1146"/>
      <c r="P12" s="1146"/>
      <c r="Q12" s="1146"/>
      <c r="R12" s="1146"/>
      <c r="S12" s="1146"/>
      <c r="T12" s="1147"/>
      <c r="U12" s="421"/>
      <c r="V12" s="496"/>
      <c r="W12" s="496"/>
      <c r="X12" s="421"/>
      <c r="Y12" s="421"/>
      <c r="Z12" s="1146"/>
      <c r="AA12" s="1146"/>
      <c r="AB12" s="1146"/>
      <c r="AC12" s="1146"/>
      <c r="AD12" s="1146"/>
      <c r="AE12" s="1146"/>
      <c r="AF12" s="1146"/>
      <c r="AG12" s="1146"/>
      <c r="AH12" s="1146"/>
      <c r="AI12" s="1146"/>
      <c r="AJ12" s="1146"/>
      <c r="AK12" s="1146"/>
      <c r="AL12" s="1146"/>
      <c r="AM12" s="1146"/>
      <c r="AN12" s="1146"/>
      <c r="AO12" s="1146"/>
      <c r="AP12" s="1146"/>
      <c r="AQ12" s="1146"/>
      <c r="AR12" s="1146"/>
      <c r="AS12" s="1146"/>
      <c r="AT12" s="1146"/>
      <c r="AU12" s="1147"/>
    </row>
    <row r="13" spans="1:50" ht="3" customHeight="1">
      <c r="A13" s="281"/>
      <c r="B13" s="478"/>
      <c r="C13" s="282"/>
      <c r="D13" s="1146" t="str">
        <f>Content!E18</f>
        <v>1.3 Material check</v>
      </c>
      <c r="E13" s="1146"/>
      <c r="F13" s="1146"/>
      <c r="G13" s="1146"/>
      <c r="H13" s="1146"/>
      <c r="I13" s="1146"/>
      <c r="J13" s="1146"/>
      <c r="K13" s="1146"/>
      <c r="L13" s="1146"/>
      <c r="M13" s="1146"/>
      <c r="N13" s="1146"/>
      <c r="O13" s="1146"/>
      <c r="P13" s="1146"/>
      <c r="Q13" s="1146"/>
      <c r="R13" s="1146"/>
      <c r="S13" s="1146"/>
      <c r="T13" s="1147"/>
      <c r="U13" s="421"/>
      <c r="V13" s="496"/>
      <c r="W13" s="496"/>
      <c r="X13" s="421"/>
      <c r="Y13" s="421"/>
      <c r="Z13" s="1146" t="str">
        <f>Cover!M27</f>
        <v>2 Samples</v>
      </c>
      <c r="AA13" s="1146"/>
      <c r="AB13" s="1146"/>
      <c r="AC13" s="1146"/>
      <c r="AD13" s="1146"/>
      <c r="AE13" s="1146"/>
      <c r="AF13" s="1146"/>
      <c r="AG13" s="1146"/>
      <c r="AH13" s="1146"/>
      <c r="AI13" s="1146"/>
      <c r="AJ13" s="1146"/>
      <c r="AK13" s="1146"/>
      <c r="AL13" s="1146"/>
      <c r="AM13" s="1146"/>
      <c r="AN13" s="1146"/>
      <c r="AO13" s="1146"/>
      <c r="AP13" s="1146"/>
      <c r="AQ13" s="1146"/>
      <c r="AR13" s="1146"/>
      <c r="AS13" s="1146"/>
      <c r="AT13" s="1146"/>
      <c r="AU13" s="1147"/>
    </row>
    <row r="14" spans="1:50" ht="15.75" customHeight="1">
      <c r="A14" s="281"/>
      <c r="B14" s="565"/>
      <c r="C14" s="282"/>
      <c r="D14" s="1146"/>
      <c r="E14" s="1146"/>
      <c r="F14" s="1146"/>
      <c r="G14" s="1146"/>
      <c r="H14" s="1146"/>
      <c r="I14" s="1146"/>
      <c r="J14" s="1146"/>
      <c r="K14" s="1146"/>
      <c r="L14" s="1146"/>
      <c r="M14" s="1146"/>
      <c r="N14" s="1146"/>
      <c r="O14" s="1146"/>
      <c r="P14" s="1146"/>
      <c r="Q14" s="1146"/>
      <c r="R14" s="1146"/>
      <c r="S14" s="1146"/>
      <c r="T14" s="1147"/>
      <c r="U14" s="421"/>
      <c r="V14" s="1152"/>
      <c r="W14" s="1153"/>
      <c r="X14" s="1154"/>
      <c r="Y14" s="607"/>
      <c r="Z14" s="1146"/>
      <c r="AA14" s="1146"/>
      <c r="AB14" s="1146"/>
      <c r="AC14" s="1146"/>
      <c r="AD14" s="1146"/>
      <c r="AE14" s="1146"/>
      <c r="AF14" s="1146"/>
      <c r="AG14" s="1146"/>
      <c r="AH14" s="1146"/>
      <c r="AI14" s="1146"/>
      <c r="AJ14" s="1146"/>
      <c r="AK14" s="1146"/>
      <c r="AL14" s="1146"/>
      <c r="AM14" s="1146"/>
      <c r="AN14" s="1146"/>
      <c r="AO14" s="1146"/>
      <c r="AP14" s="1146"/>
      <c r="AQ14" s="1146"/>
      <c r="AR14" s="1146"/>
      <c r="AS14" s="1146"/>
      <c r="AT14" s="1146"/>
      <c r="AU14" s="1147"/>
    </row>
    <row r="15" spans="1:50" ht="3" customHeight="1">
      <c r="A15" s="281"/>
      <c r="B15" s="478"/>
      <c r="C15" s="282"/>
      <c r="D15" s="1146"/>
      <c r="E15" s="1146"/>
      <c r="F15" s="1146"/>
      <c r="G15" s="1146"/>
      <c r="H15" s="1146"/>
      <c r="I15" s="1146"/>
      <c r="J15" s="1146"/>
      <c r="K15" s="1146"/>
      <c r="L15" s="1146"/>
      <c r="M15" s="1146"/>
      <c r="N15" s="1146"/>
      <c r="O15" s="1146"/>
      <c r="P15" s="1146"/>
      <c r="Q15" s="1146"/>
      <c r="R15" s="1146"/>
      <c r="S15" s="1146"/>
      <c r="T15" s="1147"/>
      <c r="U15" s="421"/>
      <c r="V15" s="496"/>
      <c r="W15" s="496"/>
      <c r="X15" s="421"/>
      <c r="Y15" s="421"/>
      <c r="Z15" s="1146"/>
      <c r="AA15" s="1146"/>
      <c r="AB15" s="1146"/>
      <c r="AC15" s="1146"/>
      <c r="AD15" s="1146"/>
      <c r="AE15" s="1146"/>
      <c r="AF15" s="1146"/>
      <c r="AG15" s="1146"/>
      <c r="AH15" s="1146"/>
      <c r="AI15" s="1146"/>
      <c r="AJ15" s="1146"/>
      <c r="AK15" s="1146"/>
      <c r="AL15" s="1146"/>
      <c r="AM15" s="1146"/>
      <c r="AN15" s="1146"/>
      <c r="AO15" s="1146"/>
      <c r="AP15" s="1146"/>
      <c r="AQ15" s="1146"/>
      <c r="AR15" s="1146"/>
      <c r="AS15" s="1146"/>
      <c r="AT15" s="1146"/>
      <c r="AU15" s="1147"/>
    </row>
    <row r="16" spans="1:50" ht="3" customHeight="1">
      <c r="A16" s="281"/>
      <c r="B16" s="478"/>
      <c r="C16" s="282"/>
      <c r="D16" s="1146" t="str">
        <f>Content!E21</f>
        <v>1.4 Haptics check</v>
      </c>
      <c r="E16" s="1146"/>
      <c r="F16" s="1146"/>
      <c r="G16" s="1146"/>
      <c r="H16" s="1146"/>
      <c r="I16" s="1146"/>
      <c r="J16" s="1146"/>
      <c r="K16" s="1146"/>
      <c r="L16" s="1146"/>
      <c r="M16" s="1146"/>
      <c r="N16" s="1146"/>
      <c r="O16" s="1146"/>
      <c r="P16" s="1146"/>
      <c r="Q16" s="1146"/>
      <c r="R16" s="1146"/>
      <c r="S16" s="1146"/>
      <c r="T16" s="1147"/>
      <c r="U16" s="421"/>
      <c r="V16" s="496"/>
      <c r="W16" s="496"/>
      <c r="X16" s="421"/>
      <c r="Y16" s="421"/>
      <c r="Z16" s="1146" t="str">
        <f>Cover!M29</f>
        <v>3 Technical specifications</v>
      </c>
      <c r="AA16" s="1146"/>
      <c r="AB16" s="1146"/>
      <c r="AC16" s="1146"/>
      <c r="AD16" s="1146"/>
      <c r="AE16" s="1146"/>
      <c r="AF16" s="1146"/>
      <c r="AG16" s="1146"/>
      <c r="AH16" s="1146"/>
      <c r="AI16" s="1146"/>
      <c r="AJ16" s="1146"/>
      <c r="AK16" s="1146"/>
      <c r="AL16" s="1146"/>
      <c r="AM16" s="1146"/>
      <c r="AN16" s="1146"/>
      <c r="AO16" s="1146"/>
      <c r="AP16" s="1146"/>
      <c r="AQ16" s="1146"/>
      <c r="AR16" s="1146"/>
      <c r="AS16" s="1146"/>
      <c r="AT16" s="1146"/>
      <c r="AU16" s="1147"/>
    </row>
    <row r="17" spans="1:47" ht="15.75" customHeight="1">
      <c r="A17" s="281"/>
      <c r="B17" s="565"/>
      <c r="C17" s="282"/>
      <c r="D17" s="1146"/>
      <c r="E17" s="1146"/>
      <c r="F17" s="1146"/>
      <c r="G17" s="1146"/>
      <c r="H17" s="1146"/>
      <c r="I17" s="1146"/>
      <c r="J17" s="1146"/>
      <c r="K17" s="1146"/>
      <c r="L17" s="1146"/>
      <c r="M17" s="1146"/>
      <c r="N17" s="1146"/>
      <c r="O17" s="1146"/>
      <c r="P17" s="1146"/>
      <c r="Q17" s="1146"/>
      <c r="R17" s="1146"/>
      <c r="S17" s="1146"/>
      <c r="T17" s="1147"/>
      <c r="U17" s="421"/>
      <c r="V17" s="1152"/>
      <c r="W17" s="1153"/>
      <c r="X17" s="1154"/>
      <c r="Y17" s="607"/>
      <c r="Z17" s="1146"/>
      <c r="AA17" s="1146"/>
      <c r="AB17" s="1146"/>
      <c r="AC17" s="1146"/>
      <c r="AD17" s="1146"/>
      <c r="AE17" s="1146"/>
      <c r="AF17" s="1146"/>
      <c r="AG17" s="1146"/>
      <c r="AH17" s="1146"/>
      <c r="AI17" s="1146"/>
      <c r="AJ17" s="1146"/>
      <c r="AK17" s="1146"/>
      <c r="AL17" s="1146"/>
      <c r="AM17" s="1146"/>
      <c r="AN17" s="1146"/>
      <c r="AO17" s="1146"/>
      <c r="AP17" s="1146"/>
      <c r="AQ17" s="1146"/>
      <c r="AR17" s="1146"/>
      <c r="AS17" s="1146"/>
      <c r="AT17" s="1146"/>
      <c r="AU17" s="1147"/>
    </row>
    <row r="18" spans="1:47" ht="3" customHeight="1">
      <c r="A18" s="281"/>
      <c r="B18" s="478"/>
      <c r="C18" s="282"/>
      <c r="D18" s="1146"/>
      <c r="E18" s="1146"/>
      <c r="F18" s="1146"/>
      <c r="G18" s="1146"/>
      <c r="H18" s="1146"/>
      <c r="I18" s="1146"/>
      <c r="J18" s="1146"/>
      <c r="K18" s="1146"/>
      <c r="L18" s="1146"/>
      <c r="M18" s="1146"/>
      <c r="N18" s="1146"/>
      <c r="O18" s="1146"/>
      <c r="P18" s="1146"/>
      <c r="Q18" s="1146"/>
      <c r="R18" s="1146"/>
      <c r="S18" s="1146"/>
      <c r="T18" s="1147"/>
      <c r="U18" s="421"/>
      <c r="V18" s="496"/>
      <c r="W18" s="496"/>
      <c r="X18" s="421"/>
      <c r="Y18" s="421"/>
      <c r="Z18" s="1146"/>
      <c r="AA18" s="1146"/>
      <c r="AB18" s="1146"/>
      <c r="AC18" s="1146"/>
      <c r="AD18" s="1146"/>
      <c r="AE18" s="1146"/>
      <c r="AF18" s="1146"/>
      <c r="AG18" s="1146"/>
      <c r="AH18" s="1146"/>
      <c r="AI18" s="1146"/>
      <c r="AJ18" s="1146"/>
      <c r="AK18" s="1146"/>
      <c r="AL18" s="1146"/>
      <c r="AM18" s="1146"/>
      <c r="AN18" s="1146"/>
      <c r="AO18" s="1146"/>
      <c r="AP18" s="1146"/>
      <c r="AQ18" s="1146"/>
      <c r="AR18" s="1146"/>
      <c r="AS18" s="1146"/>
      <c r="AT18" s="1146"/>
      <c r="AU18" s="1147"/>
    </row>
    <row r="19" spans="1:47" ht="3" customHeight="1">
      <c r="A19" s="281"/>
      <c r="B19" s="478"/>
      <c r="C19" s="282"/>
      <c r="D19" s="1146" t="str">
        <f>Content!E24</f>
        <v>1.5 Acoustics check</v>
      </c>
      <c r="E19" s="1146"/>
      <c r="F19" s="1146"/>
      <c r="G19" s="1146"/>
      <c r="H19" s="1146"/>
      <c r="I19" s="1146"/>
      <c r="J19" s="1146"/>
      <c r="K19" s="1146"/>
      <c r="L19" s="1146"/>
      <c r="M19" s="1146"/>
      <c r="N19" s="1146"/>
      <c r="O19" s="1146"/>
      <c r="P19" s="1146"/>
      <c r="Q19" s="1146"/>
      <c r="R19" s="1146"/>
      <c r="S19" s="1146"/>
      <c r="T19" s="1147"/>
      <c r="U19" s="421"/>
      <c r="V19" s="496"/>
      <c r="W19" s="496"/>
      <c r="X19" s="421"/>
      <c r="Y19" s="421"/>
      <c r="Z19" s="1146" t="str">
        <f>Cover!M31</f>
        <v>4 Product – FMEA</v>
      </c>
      <c r="AA19" s="1146"/>
      <c r="AB19" s="1146"/>
      <c r="AC19" s="1146"/>
      <c r="AD19" s="1146"/>
      <c r="AE19" s="1146"/>
      <c r="AF19" s="1146"/>
      <c r="AG19" s="1146"/>
      <c r="AH19" s="1146"/>
      <c r="AI19" s="1146"/>
      <c r="AJ19" s="1146"/>
      <c r="AK19" s="1146"/>
      <c r="AL19" s="1146"/>
      <c r="AM19" s="1146"/>
      <c r="AN19" s="1146"/>
      <c r="AO19" s="1146"/>
      <c r="AP19" s="1146"/>
      <c r="AQ19" s="1146"/>
      <c r="AR19" s="1146"/>
      <c r="AS19" s="1146"/>
      <c r="AT19" s="1146"/>
      <c r="AU19" s="1147"/>
    </row>
    <row r="20" spans="1:47" ht="15.75" customHeight="1">
      <c r="A20" s="281"/>
      <c r="B20" s="423"/>
      <c r="C20" s="282"/>
      <c r="D20" s="1146"/>
      <c r="E20" s="1146"/>
      <c r="F20" s="1146"/>
      <c r="G20" s="1146"/>
      <c r="H20" s="1146"/>
      <c r="I20" s="1146"/>
      <c r="J20" s="1146"/>
      <c r="K20" s="1146"/>
      <c r="L20" s="1146"/>
      <c r="M20" s="1146"/>
      <c r="N20" s="1146"/>
      <c r="O20" s="1146"/>
      <c r="P20" s="1146"/>
      <c r="Q20" s="1146"/>
      <c r="R20" s="1146"/>
      <c r="S20" s="1146"/>
      <c r="T20" s="1147"/>
      <c r="U20" s="421"/>
      <c r="V20" s="1152"/>
      <c r="W20" s="1153"/>
      <c r="X20" s="1154"/>
      <c r="Y20" s="607"/>
      <c r="Z20" s="1146"/>
      <c r="AA20" s="1146"/>
      <c r="AB20" s="1146"/>
      <c r="AC20" s="1146"/>
      <c r="AD20" s="1146"/>
      <c r="AE20" s="1146"/>
      <c r="AF20" s="1146"/>
      <c r="AG20" s="1146"/>
      <c r="AH20" s="1146"/>
      <c r="AI20" s="1146"/>
      <c r="AJ20" s="1146"/>
      <c r="AK20" s="1146"/>
      <c r="AL20" s="1146"/>
      <c r="AM20" s="1146"/>
      <c r="AN20" s="1146"/>
      <c r="AO20" s="1146"/>
      <c r="AP20" s="1146"/>
      <c r="AQ20" s="1146"/>
      <c r="AR20" s="1146"/>
      <c r="AS20" s="1146"/>
      <c r="AT20" s="1146"/>
      <c r="AU20" s="1147"/>
    </row>
    <row r="21" spans="1:47" ht="3" customHeight="1">
      <c r="A21" s="281"/>
      <c r="B21" s="478"/>
      <c r="C21" s="282"/>
      <c r="D21" s="1146"/>
      <c r="E21" s="1146"/>
      <c r="F21" s="1146"/>
      <c r="G21" s="1146"/>
      <c r="H21" s="1146"/>
      <c r="I21" s="1146"/>
      <c r="J21" s="1146"/>
      <c r="K21" s="1146"/>
      <c r="L21" s="1146"/>
      <c r="M21" s="1146"/>
      <c r="N21" s="1146"/>
      <c r="O21" s="1146"/>
      <c r="P21" s="1146"/>
      <c r="Q21" s="1146"/>
      <c r="R21" s="1146"/>
      <c r="S21" s="1146"/>
      <c r="T21" s="1147"/>
      <c r="U21" s="421"/>
      <c r="V21" s="496"/>
      <c r="W21" s="496"/>
      <c r="X21" s="421"/>
      <c r="Y21" s="421"/>
      <c r="Z21" s="1146"/>
      <c r="AA21" s="1146"/>
      <c r="AB21" s="1146"/>
      <c r="AC21" s="1146"/>
      <c r="AD21" s="1146"/>
      <c r="AE21" s="1146"/>
      <c r="AF21" s="1146"/>
      <c r="AG21" s="1146"/>
      <c r="AH21" s="1146"/>
      <c r="AI21" s="1146"/>
      <c r="AJ21" s="1146"/>
      <c r="AK21" s="1146"/>
      <c r="AL21" s="1146"/>
      <c r="AM21" s="1146"/>
      <c r="AN21" s="1146"/>
      <c r="AO21" s="1146"/>
      <c r="AP21" s="1146"/>
      <c r="AQ21" s="1146"/>
      <c r="AR21" s="1146"/>
      <c r="AS21" s="1146"/>
      <c r="AT21" s="1146"/>
      <c r="AU21" s="1147"/>
    </row>
    <row r="22" spans="1:47" ht="3" customHeight="1">
      <c r="A22" s="281"/>
      <c r="B22" s="478"/>
      <c r="C22" s="282"/>
      <c r="D22" s="1146" t="str">
        <f>Content!E27</f>
        <v>1.6 Odour check</v>
      </c>
      <c r="E22" s="1146"/>
      <c r="F22" s="1146"/>
      <c r="G22" s="1146"/>
      <c r="H22" s="1146"/>
      <c r="I22" s="1146"/>
      <c r="J22" s="1146"/>
      <c r="K22" s="1146"/>
      <c r="L22" s="1146"/>
      <c r="M22" s="1146"/>
      <c r="N22" s="1146"/>
      <c r="O22" s="1146"/>
      <c r="P22" s="1146"/>
      <c r="Q22" s="1146"/>
      <c r="R22" s="1146"/>
      <c r="S22" s="1146"/>
      <c r="T22" s="1147"/>
      <c r="U22" s="421"/>
      <c r="V22" s="496"/>
      <c r="W22" s="496"/>
      <c r="X22" s="421"/>
      <c r="Y22" s="421"/>
      <c r="Z22" s="1146" t="str">
        <f>Cover!M33</f>
        <v>5 Design release</v>
      </c>
      <c r="AA22" s="1146"/>
      <c r="AB22" s="1146"/>
      <c r="AC22" s="1146"/>
      <c r="AD22" s="1146"/>
      <c r="AE22" s="1146"/>
      <c r="AF22" s="1146"/>
      <c r="AG22" s="1146"/>
      <c r="AH22" s="1146"/>
      <c r="AI22" s="1146"/>
      <c r="AJ22" s="1146"/>
      <c r="AK22" s="1146"/>
      <c r="AL22" s="1146"/>
      <c r="AM22" s="1146"/>
      <c r="AN22" s="1146"/>
      <c r="AO22" s="1146"/>
      <c r="AP22" s="1146"/>
      <c r="AQ22" s="1146"/>
      <c r="AR22" s="1146"/>
      <c r="AS22" s="1146"/>
      <c r="AT22" s="1146"/>
      <c r="AU22" s="1147"/>
    </row>
    <row r="23" spans="1:47" ht="15.75" customHeight="1">
      <c r="A23" s="281"/>
      <c r="B23" s="565"/>
      <c r="C23" s="282"/>
      <c r="D23" s="1146"/>
      <c r="E23" s="1146"/>
      <c r="F23" s="1146"/>
      <c r="G23" s="1146"/>
      <c r="H23" s="1146"/>
      <c r="I23" s="1146"/>
      <c r="J23" s="1146"/>
      <c r="K23" s="1146"/>
      <c r="L23" s="1146"/>
      <c r="M23" s="1146"/>
      <c r="N23" s="1146"/>
      <c r="O23" s="1146"/>
      <c r="P23" s="1146"/>
      <c r="Q23" s="1146"/>
      <c r="R23" s="1146"/>
      <c r="S23" s="1146"/>
      <c r="T23" s="1147"/>
      <c r="U23" s="421"/>
      <c r="V23" s="1152"/>
      <c r="W23" s="1153"/>
      <c r="X23" s="1154"/>
      <c r="Y23" s="607"/>
      <c r="Z23" s="1146"/>
      <c r="AA23" s="1146"/>
      <c r="AB23" s="1146"/>
      <c r="AC23" s="1146"/>
      <c r="AD23" s="1146"/>
      <c r="AE23" s="1146"/>
      <c r="AF23" s="1146"/>
      <c r="AG23" s="1146"/>
      <c r="AH23" s="1146"/>
      <c r="AI23" s="1146"/>
      <c r="AJ23" s="1146"/>
      <c r="AK23" s="1146"/>
      <c r="AL23" s="1146"/>
      <c r="AM23" s="1146"/>
      <c r="AN23" s="1146"/>
      <c r="AO23" s="1146"/>
      <c r="AP23" s="1146"/>
      <c r="AQ23" s="1146"/>
      <c r="AR23" s="1146"/>
      <c r="AS23" s="1146"/>
      <c r="AT23" s="1146"/>
      <c r="AU23" s="1147"/>
    </row>
    <row r="24" spans="1:47" ht="3" customHeight="1">
      <c r="A24" s="281"/>
      <c r="B24" s="478"/>
      <c r="C24" s="282"/>
      <c r="D24" s="1146"/>
      <c r="E24" s="1146"/>
      <c r="F24" s="1146"/>
      <c r="G24" s="1146"/>
      <c r="H24" s="1146"/>
      <c r="I24" s="1146"/>
      <c r="J24" s="1146"/>
      <c r="K24" s="1146"/>
      <c r="L24" s="1146"/>
      <c r="M24" s="1146"/>
      <c r="N24" s="1146"/>
      <c r="O24" s="1146"/>
      <c r="P24" s="1146"/>
      <c r="Q24" s="1146"/>
      <c r="R24" s="1146"/>
      <c r="S24" s="1146"/>
      <c r="T24" s="1147"/>
      <c r="U24" s="421"/>
      <c r="V24" s="496"/>
      <c r="W24" s="496"/>
      <c r="X24" s="421"/>
      <c r="Y24" s="421"/>
      <c r="Z24" s="1146"/>
      <c r="AA24" s="1146"/>
      <c r="AB24" s="1146"/>
      <c r="AC24" s="1146"/>
      <c r="AD24" s="1146"/>
      <c r="AE24" s="1146"/>
      <c r="AF24" s="1146"/>
      <c r="AG24" s="1146"/>
      <c r="AH24" s="1146"/>
      <c r="AI24" s="1146"/>
      <c r="AJ24" s="1146"/>
      <c r="AK24" s="1146"/>
      <c r="AL24" s="1146"/>
      <c r="AM24" s="1146"/>
      <c r="AN24" s="1146"/>
      <c r="AO24" s="1146"/>
      <c r="AP24" s="1146"/>
      <c r="AQ24" s="1146"/>
      <c r="AR24" s="1146"/>
      <c r="AS24" s="1146"/>
      <c r="AT24" s="1146"/>
      <c r="AU24" s="1147"/>
    </row>
    <row r="25" spans="1:47" ht="3" customHeight="1">
      <c r="A25" s="281"/>
      <c r="B25" s="478"/>
      <c r="C25" s="282"/>
      <c r="D25" s="1146" t="str">
        <f>Content!E30</f>
        <v>1.7 Appearance check</v>
      </c>
      <c r="E25" s="1146"/>
      <c r="F25" s="1146"/>
      <c r="G25" s="1146"/>
      <c r="H25" s="1146"/>
      <c r="I25" s="1146"/>
      <c r="J25" s="1146"/>
      <c r="K25" s="1146"/>
      <c r="L25" s="1146"/>
      <c r="M25" s="1146"/>
      <c r="N25" s="1146"/>
      <c r="O25" s="1146"/>
      <c r="P25" s="1146"/>
      <c r="Q25" s="1146"/>
      <c r="R25" s="1146"/>
      <c r="S25" s="1146"/>
      <c r="T25" s="1147"/>
      <c r="U25" s="421"/>
      <c r="V25" s="496"/>
      <c r="W25" s="496"/>
      <c r="X25" s="421"/>
      <c r="Y25" s="421"/>
      <c r="Z25" s="1146" t="str">
        <f>Cover!M35</f>
        <v>6 Compliance with legal requirements</v>
      </c>
      <c r="AA25" s="1146"/>
      <c r="AB25" s="1146"/>
      <c r="AC25" s="1146"/>
      <c r="AD25" s="1146"/>
      <c r="AE25" s="1146"/>
      <c r="AF25" s="1146"/>
      <c r="AG25" s="1146"/>
      <c r="AH25" s="1146"/>
      <c r="AI25" s="1146"/>
      <c r="AJ25" s="1146"/>
      <c r="AK25" s="1146"/>
      <c r="AL25" s="1146"/>
      <c r="AM25" s="1146"/>
      <c r="AN25" s="1146"/>
      <c r="AO25" s="1146"/>
      <c r="AP25" s="1146"/>
      <c r="AQ25" s="1146"/>
      <c r="AR25" s="1146"/>
      <c r="AS25" s="1146"/>
      <c r="AT25" s="1146"/>
      <c r="AU25" s="1147"/>
    </row>
    <row r="26" spans="1:47" ht="15.75" customHeight="1">
      <c r="A26" s="281"/>
      <c r="B26" s="565"/>
      <c r="C26" s="282"/>
      <c r="D26" s="1146"/>
      <c r="E26" s="1146"/>
      <c r="F26" s="1146"/>
      <c r="G26" s="1146"/>
      <c r="H26" s="1146"/>
      <c r="I26" s="1146"/>
      <c r="J26" s="1146"/>
      <c r="K26" s="1146"/>
      <c r="L26" s="1146"/>
      <c r="M26" s="1146"/>
      <c r="N26" s="1146"/>
      <c r="O26" s="1146"/>
      <c r="P26" s="1146"/>
      <c r="Q26" s="1146"/>
      <c r="R26" s="1146"/>
      <c r="S26" s="1146"/>
      <c r="T26" s="1147"/>
      <c r="U26" s="421"/>
      <c r="V26" s="1152"/>
      <c r="W26" s="1153"/>
      <c r="X26" s="1154"/>
      <c r="Y26" s="607"/>
      <c r="Z26" s="1146"/>
      <c r="AA26" s="1146"/>
      <c r="AB26" s="1146"/>
      <c r="AC26" s="1146"/>
      <c r="AD26" s="1146"/>
      <c r="AE26" s="1146"/>
      <c r="AF26" s="1146"/>
      <c r="AG26" s="1146"/>
      <c r="AH26" s="1146"/>
      <c r="AI26" s="1146"/>
      <c r="AJ26" s="1146"/>
      <c r="AK26" s="1146"/>
      <c r="AL26" s="1146"/>
      <c r="AM26" s="1146"/>
      <c r="AN26" s="1146"/>
      <c r="AO26" s="1146"/>
      <c r="AP26" s="1146"/>
      <c r="AQ26" s="1146"/>
      <c r="AR26" s="1146"/>
      <c r="AS26" s="1146"/>
      <c r="AT26" s="1146"/>
      <c r="AU26" s="1147"/>
    </row>
    <row r="27" spans="1:47" ht="3" customHeight="1">
      <c r="A27" s="281"/>
      <c r="B27" s="478"/>
      <c r="C27" s="282"/>
      <c r="D27" s="1146"/>
      <c r="E27" s="1146"/>
      <c r="F27" s="1146"/>
      <c r="G27" s="1146"/>
      <c r="H27" s="1146"/>
      <c r="I27" s="1146"/>
      <c r="J27" s="1146"/>
      <c r="K27" s="1146"/>
      <c r="L27" s="1146"/>
      <c r="M27" s="1146"/>
      <c r="N27" s="1146"/>
      <c r="O27" s="1146"/>
      <c r="P27" s="1146"/>
      <c r="Q27" s="1146"/>
      <c r="R27" s="1146"/>
      <c r="S27" s="1146"/>
      <c r="T27" s="1147"/>
      <c r="U27" s="421"/>
      <c r="V27" s="496"/>
      <c r="W27" s="496"/>
      <c r="X27" s="421"/>
      <c r="Y27" s="421"/>
      <c r="Z27" s="1146"/>
      <c r="AA27" s="1146"/>
      <c r="AB27" s="1146"/>
      <c r="AC27" s="1146"/>
      <c r="AD27" s="1146"/>
      <c r="AE27" s="1146"/>
      <c r="AF27" s="1146"/>
      <c r="AG27" s="1146"/>
      <c r="AH27" s="1146"/>
      <c r="AI27" s="1146"/>
      <c r="AJ27" s="1146"/>
      <c r="AK27" s="1146"/>
      <c r="AL27" s="1146"/>
      <c r="AM27" s="1146"/>
      <c r="AN27" s="1146"/>
      <c r="AO27" s="1146"/>
      <c r="AP27" s="1146"/>
      <c r="AQ27" s="1146"/>
      <c r="AR27" s="1146"/>
      <c r="AS27" s="1146"/>
      <c r="AT27" s="1146"/>
      <c r="AU27" s="1147"/>
    </row>
    <row r="28" spans="1:47" ht="3" customHeight="1">
      <c r="A28" s="281"/>
      <c r="B28" s="478"/>
      <c r="C28" s="282"/>
      <c r="D28" s="1146" t="str">
        <f>Content!E33</f>
        <v>1.8 Surface check</v>
      </c>
      <c r="E28" s="1146"/>
      <c r="F28" s="1146"/>
      <c r="G28" s="1146"/>
      <c r="H28" s="1146"/>
      <c r="I28" s="1146"/>
      <c r="J28" s="1146"/>
      <c r="K28" s="1146"/>
      <c r="L28" s="1146"/>
      <c r="M28" s="1146"/>
      <c r="N28" s="1146"/>
      <c r="O28" s="1146"/>
      <c r="P28" s="1146"/>
      <c r="Q28" s="1146"/>
      <c r="R28" s="1146"/>
      <c r="S28" s="1146"/>
      <c r="T28" s="1147"/>
      <c r="U28" s="421"/>
      <c r="V28" s="496"/>
      <c r="W28" s="496"/>
      <c r="X28" s="421"/>
      <c r="Y28" s="421"/>
      <c r="Z28" s="1146" t="str">
        <f>Cover!M37</f>
        <v>7 Material data sheet / IMDS</v>
      </c>
      <c r="AA28" s="1146"/>
      <c r="AB28" s="1146"/>
      <c r="AC28" s="1146"/>
      <c r="AD28" s="1146"/>
      <c r="AE28" s="1146"/>
      <c r="AF28" s="1146"/>
      <c r="AG28" s="1146"/>
      <c r="AH28" s="1146"/>
      <c r="AI28" s="1146"/>
      <c r="AJ28" s="1146"/>
      <c r="AK28" s="1146"/>
      <c r="AL28" s="1146"/>
      <c r="AM28" s="1146"/>
      <c r="AN28" s="1146"/>
      <c r="AO28" s="1146"/>
      <c r="AP28" s="1146"/>
      <c r="AQ28" s="1146"/>
      <c r="AR28" s="1146"/>
      <c r="AS28" s="1146"/>
      <c r="AT28" s="1146"/>
      <c r="AU28" s="1147"/>
    </row>
    <row r="29" spans="1:47" ht="15.75" customHeight="1">
      <c r="A29" s="281"/>
      <c r="B29" s="565"/>
      <c r="C29" s="282"/>
      <c r="D29" s="1146"/>
      <c r="E29" s="1146"/>
      <c r="F29" s="1146"/>
      <c r="G29" s="1146"/>
      <c r="H29" s="1146"/>
      <c r="I29" s="1146"/>
      <c r="J29" s="1146"/>
      <c r="K29" s="1146"/>
      <c r="L29" s="1146"/>
      <c r="M29" s="1146"/>
      <c r="N29" s="1146"/>
      <c r="O29" s="1146"/>
      <c r="P29" s="1146"/>
      <c r="Q29" s="1146"/>
      <c r="R29" s="1146"/>
      <c r="S29" s="1146"/>
      <c r="T29" s="1147"/>
      <c r="U29" s="421"/>
      <c r="V29" s="1152"/>
      <c r="W29" s="1153"/>
      <c r="X29" s="1154"/>
      <c r="Y29" s="607"/>
      <c r="Z29" s="1146"/>
      <c r="AA29" s="1146"/>
      <c r="AB29" s="1146"/>
      <c r="AC29" s="1146"/>
      <c r="AD29" s="1146"/>
      <c r="AE29" s="1146"/>
      <c r="AF29" s="1146"/>
      <c r="AG29" s="1146"/>
      <c r="AH29" s="1146"/>
      <c r="AI29" s="1146"/>
      <c r="AJ29" s="1146"/>
      <c r="AK29" s="1146"/>
      <c r="AL29" s="1146"/>
      <c r="AM29" s="1146"/>
      <c r="AN29" s="1146"/>
      <c r="AO29" s="1146"/>
      <c r="AP29" s="1146"/>
      <c r="AQ29" s="1146"/>
      <c r="AR29" s="1146"/>
      <c r="AS29" s="1146"/>
      <c r="AT29" s="1146"/>
      <c r="AU29" s="1147"/>
    </row>
    <row r="30" spans="1:47" ht="3" customHeight="1">
      <c r="A30" s="281"/>
      <c r="B30" s="282"/>
      <c r="C30" s="282"/>
      <c r="D30" s="1146"/>
      <c r="E30" s="1146"/>
      <c r="F30" s="1146"/>
      <c r="G30" s="1146"/>
      <c r="H30" s="1146"/>
      <c r="I30" s="1146"/>
      <c r="J30" s="1146"/>
      <c r="K30" s="1146"/>
      <c r="L30" s="1146"/>
      <c r="M30" s="1146"/>
      <c r="N30" s="1146"/>
      <c r="O30" s="1146"/>
      <c r="P30" s="1146"/>
      <c r="Q30" s="1146"/>
      <c r="R30" s="1146"/>
      <c r="S30" s="1146"/>
      <c r="T30" s="1147"/>
      <c r="U30" s="421"/>
      <c r="V30" s="421"/>
      <c r="W30" s="421"/>
      <c r="X30" s="421"/>
      <c r="Y30" s="421"/>
      <c r="Z30" s="1146"/>
      <c r="AA30" s="1146"/>
      <c r="AB30" s="1146"/>
      <c r="AC30" s="1146"/>
      <c r="AD30" s="1146"/>
      <c r="AE30" s="1146"/>
      <c r="AF30" s="1146"/>
      <c r="AG30" s="1146"/>
      <c r="AH30" s="1146"/>
      <c r="AI30" s="1146"/>
      <c r="AJ30" s="1146"/>
      <c r="AK30" s="1146"/>
      <c r="AL30" s="1146"/>
      <c r="AM30" s="1146"/>
      <c r="AN30" s="1146"/>
      <c r="AO30" s="1146"/>
      <c r="AP30" s="1146"/>
      <c r="AQ30" s="1146"/>
      <c r="AR30" s="1146"/>
      <c r="AS30" s="1146"/>
      <c r="AT30" s="1146"/>
      <c r="AU30" s="1147"/>
    </row>
    <row r="31" spans="1:47" ht="2.25" customHeight="1" thickBot="1">
      <c r="A31" s="422"/>
      <c r="B31" s="113"/>
      <c r="C31" s="113"/>
      <c r="D31" s="113"/>
      <c r="E31" s="113"/>
      <c r="F31" s="113"/>
      <c r="G31" s="113"/>
      <c r="H31" s="113"/>
      <c r="I31" s="113"/>
      <c r="J31" s="113"/>
      <c r="K31" s="113"/>
      <c r="L31" s="113"/>
      <c r="M31" s="113"/>
      <c r="N31" s="113"/>
      <c r="O31" s="113"/>
      <c r="P31" s="113"/>
      <c r="Q31" s="113"/>
      <c r="R31" s="113"/>
      <c r="S31" s="113"/>
      <c r="T31" s="256"/>
      <c r="U31" s="113"/>
      <c r="V31" s="113"/>
      <c r="W31" s="113"/>
      <c r="X31" s="113"/>
      <c r="Y31" s="113"/>
      <c r="Z31" s="113"/>
      <c r="AA31" s="113"/>
      <c r="AB31" s="113"/>
      <c r="AC31" s="113"/>
      <c r="AD31" s="113"/>
      <c r="AE31" s="113"/>
      <c r="AF31" s="113"/>
      <c r="AG31" s="113"/>
      <c r="AH31" s="113"/>
      <c r="AI31" s="113"/>
      <c r="AJ31" s="113"/>
      <c r="AK31" s="113"/>
      <c r="AL31" s="113"/>
      <c r="AM31" s="113"/>
      <c r="AN31" s="113"/>
      <c r="AO31" s="113"/>
      <c r="AP31" s="113"/>
      <c r="AQ31" s="113"/>
      <c r="AR31" s="113"/>
      <c r="AS31" s="113"/>
      <c r="AT31" s="113"/>
      <c r="AU31" s="256"/>
    </row>
    <row r="32" spans="1:47" ht="16.5" customHeight="1">
      <c r="A32" s="1144" t="str">
        <f>Content!A4</f>
        <v>Supplier/Production plant:</v>
      </c>
      <c r="B32" s="1145"/>
      <c r="C32" s="1145"/>
      <c r="D32" s="1145"/>
      <c r="E32" s="1145"/>
      <c r="F32" s="1145"/>
      <c r="G32" s="1145"/>
      <c r="H32" s="1145"/>
      <c r="I32" s="1145"/>
      <c r="J32" s="1145"/>
      <c r="K32" s="1145"/>
      <c r="L32" s="1155">
        <f>Cover!H41</f>
        <v>0</v>
      </c>
      <c r="M32" s="1155"/>
      <c r="N32" s="1155"/>
      <c r="O32" s="1155"/>
      <c r="P32" s="1155"/>
      <c r="Q32" s="1155"/>
      <c r="R32" s="1155"/>
      <c r="S32" s="1155"/>
      <c r="T32" s="1156"/>
      <c r="U32" s="1144" t="str">
        <f>Content!Q4</f>
        <v>Customer:</v>
      </c>
      <c r="V32" s="1145"/>
      <c r="W32" s="1145"/>
      <c r="X32" s="1145"/>
      <c r="Y32" s="1145"/>
      <c r="Z32" s="1145"/>
      <c r="AA32" s="1145"/>
      <c r="AB32" s="1145"/>
      <c r="AC32" s="1145"/>
      <c r="AD32" s="1145"/>
      <c r="AE32" s="1145"/>
      <c r="AF32" s="923">
        <f>Cover!CP41</f>
        <v>0</v>
      </c>
      <c r="AG32" s="923"/>
      <c r="AH32" s="923"/>
      <c r="AI32" s="923"/>
      <c r="AJ32" s="923"/>
      <c r="AK32" s="923"/>
      <c r="AL32" s="923"/>
      <c r="AM32" s="923"/>
      <c r="AN32" s="923"/>
      <c r="AO32" s="923"/>
      <c r="AP32" s="923"/>
      <c r="AQ32" s="923"/>
      <c r="AR32" s="923"/>
      <c r="AS32" s="923"/>
      <c r="AT32" s="923"/>
      <c r="AU32" s="924"/>
    </row>
    <row r="33" spans="1:50" ht="16.5" customHeight="1">
      <c r="A33" s="1139" t="str">
        <f>Content!A5</f>
        <v>ID number / DUNS:</v>
      </c>
      <c r="B33" s="1140"/>
      <c r="C33" s="1140"/>
      <c r="D33" s="1140"/>
      <c r="E33" s="1140"/>
      <c r="F33" s="1140"/>
      <c r="G33" s="1140"/>
      <c r="H33" s="1140"/>
      <c r="I33" s="925">
        <f>Cover!AM41</f>
        <v>0</v>
      </c>
      <c r="J33" s="925"/>
      <c r="K33" s="925"/>
      <c r="L33" s="925"/>
      <c r="M33" s="925"/>
      <c r="N33" s="925"/>
      <c r="O33" s="925"/>
      <c r="P33" s="925"/>
      <c r="Q33" s="925"/>
      <c r="R33" s="925"/>
      <c r="S33" s="925"/>
      <c r="T33" s="926"/>
      <c r="U33" s="1139" t="str">
        <f>Content!Q5</f>
        <v>ID number:</v>
      </c>
      <c r="V33" s="1140"/>
      <c r="W33" s="1140"/>
      <c r="X33" s="1140"/>
      <c r="Y33" s="1140"/>
      <c r="Z33" s="1140"/>
      <c r="AA33" s="1140"/>
      <c r="AB33" s="1140"/>
      <c r="AC33" s="1140"/>
      <c r="AD33" s="1140"/>
      <c r="AE33" s="1140"/>
      <c r="AF33" s="925"/>
      <c r="AG33" s="925"/>
      <c r="AH33" s="925"/>
      <c r="AI33" s="925"/>
      <c r="AJ33" s="925"/>
      <c r="AK33" s="925"/>
      <c r="AL33" s="925"/>
      <c r="AM33" s="925"/>
      <c r="AN33" s="925"/>
      <c r="AO33" s="925"/>
      <c r="AP33" s="925"/>
      <c r="AQ33" s="925"/>
      <c r="AR33" s="925"/>
      <c r="AS33" s="925"/>
      <c r="AT33" s="925"/>
      <c r="AU33" s="926"/>
    </row>
    <row r="34" spans="1:50" ht="16.5" customHeight="1">
      <c r="A34" s="1139" t="str">
        <f>Content!A6</f>
        <v>Report No.:</v>
      </c>
      <c r="B34" s="1140"/>
      <c r="C34" s="1140"/>
      <c r="D34" s="1140"/>
      <c r="E34" s="1140"/>
      <c r="F34" s="1140"/>
      <c r="G34" s="1140"/>
      <c r="H34" s="925">
        <f>Cover!CP42</f>
        <v>0</v>
      </c>
      <c r="I34" s="925"/>
      <c r="J34" s="925"/>
      <c r="K34" s="925"/>
      <c r="L34" s="925"/>
      <c r="M34" s="925"/>
      <c r="N34" s="925"/>
      <c r="O34" s="1122" t="s">
        <v>69</v>
      </c>
      <c r="P34" s="1122"/>
      <c r="Q34" s="927"/>
      <c r="R34" s="927"/>
      <c r="S34" s="927"/>
      <c r="T34" s="928"/>
      <c r="U34" s="1139" t="str">
        <f>Content!Q6</f>
        <v>Report No.:</v>
      </c>
      <c r="V34" s="1140"/>
      <c r="W34" s="1140"/>
      <c r="X34" s="1140"/>
      <c r="Y34" s="1140"/>
      <c r="Z34" s="1140"/>
      <c r="AA34" s="1140"/>
      <c r="AB34" s="1140"/>
      <c r="AC34" s="1140"/>
      <c r="AD34" s="1140"/>
      <c r="AE34" s="1140"/>
      <c r="AF34" s="925"/>
      <c r="AG34" s="925"/>
      <c r="AH34" s="925"/>
      <c r="AI34" s="925"/>
      <c r="AJ34" s="925"/>
      <c r="AK34" s="925"/>
      <c r="AL34" s="925"/>
      <c r="AM34" s="1122" t="s">
        <v>69</v>
      </c>
      <c r="AN34" s="1122"/>
      <c r="AO34" s="1122"/>
      <c r="AP34" s="927"/>
      <c r="AQ34" s="927"/>
      <c r="AR34" s="927"/>
      <c r="AS34" s="927"/>
      <c r="AT34" s="927"/>
      <c r="AU34" s="928"/>
    </row>
    <row r="35" spans="1:50" ht="16.5" customHeight="1">
      <c r="A35" s="1141" t="str">
        <f>Content!A7</f>
        <v>Part description:</v>
      </c>
      <c r="B35" s="1142"/>
      <c r="C35" s="1142"/>
      <c r="D35" s="1142"/>
      <c r="E35" s="1142"/>
      <c r="F35" s="1142"/>
      <c r="G35" s="1142"/>
      <c r="H35" s="938">
        <f>Cover!G42</f>
        <v>0</v>
      </c>
      <c r="I35" s="938"/>
      <c r="J35" s="938"/>
      <c r="K35" s="938"/>
      <c r="L35" s="938"/>
      <c r="M35" s="938"/>
      <c r="N35" s="938"/>
      <c r="O35" s="938"/>
      <c r="P35" s="938"/>
      <c r="Q35" s="938"/>
      <c r="R35" s="938"/>
      <c r="S35" s="938"/>
      <c r="T35" s="939"/>
      <c r="U35" s="1141" t="str">
        <f>Content!A7</f>
        <v>Part description:</v>
      </c>
      <c r="V35" s="1142"/>
      <c r="W35" s="1142"/>
      <c r="X35" s="1142"/>
      <c r="Y35" s="1142"/>
      <c r="Z35" s="1142"/>
      <c r="AA35" s="1142"/>
      <c r="AB35" s="1142"/>
      <c r="AC35" s="1142"/>
      <c r="AD35" s="1142"/>
      <c r="AE35" s="1142"/>
      <c r="AF35" s="938"/>
      <c r="AG35" s="938"/>
      <c r="AH35" s="938"/>
      <c r="AI35" s="938"/>
      <c r="AJ35" s="938"/>
      <c r="AK35" s="938"/>
      <c r="AL35" s="938"/>
      <c r="AM35" s="938"/>
      <c r="AN35" s="938"/>
      <c r="AO35" s="938"/>
      <c r="AP35" s="938"/>
      <c r="AQ35" s="938"/>
      <c r="AR35" s="938"/>
      <c r="AS35" s="938"/>
      <c r="AT35" s="938"/>
      <c r="AU35" s="939"/>
      <c r="AX35" s="73"/>
    </row>
    <row r="36" spans="1:50" ht="16.5" customHeight="1">
      <c r="A36" s="1121" t="str">
        <f>Cover!B43</f>
        <v>Part number:</v>
      </c>
      <c r="B36" s="877"/>
      <c r="C36" s="877"/>
      <c r="D36" s="877"/>
      <c r="E36" s="877"/>
      <c r="F36" s="877"/>
      <c r="G36" s="877"/>
      <c r="H36" s="1119">
        <f>Cover!G43</f>
        <v>0</v>
      </c>
      <c r="I36" s="1119"/>
      <c r="J36" s="1119"/>
      <c r="K36" s="1119"/>
      <c r="L36" s="1119"/>
      <c r="M36" s="1119"/>
      <c r="N36" s="1119"/>
      <c r="O36" s="1119"/>
      <c r="P36" s="1119"/>
      <c r="Q36" s="1119"/>
      <c r="R36" s="1119"/>
      <c r="S36" s="1119"/>
      <c r="T36" s="1120"/>
      <c r="U36" s="1121" t="str">
        <f>A36</f>
        <v>Part number:</v>
      </c>
      <c r="V36" s="877"/>
      <c r="W36" s="877"/>
      <c r="X36" s="877"/>
      <c r="Y36" s="877"/>
      <c r="Z36" s="877"/>
      <c r="AA36" s="877"/>
      <c r="AB36" s="877"/>
      <c r="AC36" s="877"/>
      <c r="AD36" s="877"/>
      <c r="AE36" s="877"/>
      <c r="AF36" s="1119"/>
      <c r="AG36" s="1119"/>
      <c r="AH36" s="1119"/>
      <c r="AI36" s="1119"/>
      <c r="AJ36" s="1119"/>
      <c r="AK36" s="1119"/>
      <c r="AL36" s="1119"/>
      <c r="AM36" s="1119"/>
      <c r="AN36" s="1119"/>
      <c r="AO36" s="1119"/>
      <c r="AP36" s="1119"/>
      <c r="AQ36" s="1119"/>
      <c r="AR36" s="1119"/>
      <c r="AS36" s="1119"/>
      <c r="AT36" s="1119"/>
      <c r="AU36" s="1120"/>
    </row>
    <row r="37" spans="1:50" ht="16.5" customHeight="1">
      <c r="A37" s="1121" t="str">
        <f>Content!Q7</f>
        <v>Drawing number:</v>
      </c>
      <c r="B37" s="877"/>
      <c r="C37" s="877"/>
      <c r="D37" s="877"/>
      <c r="E37" s="877"/>
      <c r="F37" s="877"/>
      <c r="G37" s="877"/>
      <c r="H37" s="877"/>
      <c r="I37" s="1119">
        <f>Cover!G44</f>
        <v>0</v>
      </c>
      <c r="J37" s="1119"/>
      <c r="K37" s="1119"/>
      <c r="L37" s="1119"/>
      <c r="M37" s="1119"/>
      <c r="N37" s="1119"/>
      <c r="O37" s="1119"/>
      <c r="P37" s="1119"/>
      <c r="Q37" s="1119"/>
      <c r="R37" s="1119"/>
      <c r="S37" s="1119"/>
      <c r="T37" s="1120"/>
      <c r="U37" s="1121" t="str">
        <f>Content!Q7</f>
        <v>Drawing number:</v>
      </c>
      <c r="V37" s="877"/>
      <c r="W37" s="877"/>
      <c r="X37" s="877"/>
      <c r="Y37" s="877"/>
      <c r="Z37" s="877"/>
      <c r="AA37" s="877"/>
      <c r="AB37" s="877"/>
      <c r="AC37" s="877"/>
      <c r="AD37" s="877"/>
      <c r="AE37" s="877"/>
      <c r="AF37" s="877"/>
      <c r="AG37" s="1119"/>
      <c r="AH37" s="1119"/>
      <c r="AI37" s="1119"/>
      <c r="AJ37" s="1119"/>
      <c r="AK37" s="1119"/>
      <c r="AL37" s="1119"/>
      <c r="AM37" s="1119"/>
      <c r="AN37" s="1119"/>
      <c r="AO37" s="1119"/>
      <c r="AP37" s="1119"/>
      <c r="AQ37" s="1119"/>
      <c r="AR37" s="1119"/>
      <c r="AS37" s="1119"/>
      <c r="AT37" s="1119"/>
      <c r="AU37" s="1120"/>
    </row>
    <row r="38" spans="1:50" ht="16.5" customHeight="1" thickBot="1">
      <c r="A38" s="1117" t="str">
        <f>Content!Q8</f>
        <v>Issue / Date:</v>
      </c>
      <c r="B38" s="1118"/>
      <c r="C38" s="1118"/>
      <c r="D38" s="1118"/>
      <c r="E38" s="1118"/>
      <c r="F38" s="1118"/>
      <c r="G38" s="1118"/>
      <c r="H38" s="940">
        <f>Cover!G45</f>
        <v>0</v>
      </c>
      <c r="I38" s="940"/>
      <c r="J38" s="940"/>
      <c r="K38" s="940"/>
      <c r="L38" s="940"/>
      <c r="M38" s="940"/>
      <c r="N38" s="940"/>
      <c r="O38" s="940"/>
      <c r="P38" s="940"/>
      <c r="Q38" s="940"/>
      <c r="R38" s="940"/>
      <c r="S38" s="940"/>
      <c r="T38" s="941"/>
      <c r="U38" s="1117" t="str">
        <f>Content!Q8</f>
        <v>Issue / Date:</v>
      </c>
      <c r="V38" s="1118"/>
      <c r="W38" s="1118"/>
      <c r="X38" s="1118"/>
      <c r="Y38" s="1118"/>
      <c r="Z38" s="1118"/>
      <c r="AA38" s="1118"/>
      <c r="AB38" s="1118"/>
      <c r="AC38" s="1118"/>
      <c r="AD38" s="1118"/>
      <c r="AE38" s="1118"/>
      <c r="AF38" s="940"/>
      <c r="AG38" s="940"/>
      <c r="AH38" s="940"/>
      <c r="AI38" s="940"/>
      <c r="AJ38" s="940"/>
      <c r="AK38" s="940"/>
      <c r="AL38" s="940"/>
      <c r="AM38" s="940"/>
      <c r="AN38" s="940"/>
      <c r="AO38" s="940"/>
      <c r="AP38" s="940"/>
      <c r="AQ38" s="940"/>
      <c r="AR38" s="940"/>
      <c r="AS38" s="940"/>
      <c r="AT38" s="940"/>
      <c r="AU38" s="941"/>
    </row>
    <row r="39" spans="1:50" ht="3" customHeight="1" thickBot="1"/>
    <row r="40" spans="1:50" ht="15">
      <c r="A40" s="1102" t="str">
        <f>VLOOKUP("ref nr",Translations!$A:$T,MATCH(Cover!DR19,Translations!A2:P2,0),0)</f>
        <v>Ref. No.</v>
      </c>
      <c r="B40" s="1103"/>
      <c r="C40" s="1103"/>
      <c r="D40" s="1104"/>
      <c r="E40" s="1111" t="str">
        <f>VLOOKUP("forderungen",Translations!$A:$T,MATCH(Cover!DR19,Translations!A2:P2,0),0)</f>
        <v>Requirements / Specifications</v>
      </c>
      <c r="F40" s="1103"/>
      <c r="G40" s="1103"/>
      <c r="H40" s="1103"/>
      <c r="I40" s="1103"/>
      <c r="J40" s="1104"/>
      <c r="K40" s="1087" t="str">
        <f>VLOOKUP("ist-werte lieferant (je muster)",Translations!$A:$T,MATCH(Cover!DR19,Translations!A2:P2,0),0)</f>
        <v>Actual values Supplier</v>
      </c>
      <c r="L40" s="1088"/>
      <c r="M40" s="1088"/>
      <c r="N40" s="1088"/>
      <c r="O40" s="1088"/>
      <c r="P40" s="1088"/>
      <c r="Q40" s="1088"/>
      <c r="R40" s="1088"/>
      <c r="S40" s="1088"/>
      <c r="T40" s="1089"/>
      <c r="U40" s="1090" t="str">
        <f>VLOOKUP("spezifikation erfüllt",Translations!$A:$T,MATCH(Cover!DR19,Translations!A2:P2,0),0)</f>
        <v>Specification
fulfilled</v>
      </c>
      <c r="V40" s="1091"/>
      <c r="W40" s="1091"/>
      <c r="X40" s="1091"/>
      <c r="Y40" s="1091"/>
      <c r="Z40" s="1091"/>
      <c r="AA40" s="1091"/>
      <c r="AB40" s="1091"/>
      <c r="AC40" s="1091"/>
      <c r="AD40" s="1092"/>
      <c r="AE40" s="1111" t="str">
        <f>Cover!B51</f>
        <v>Comments:</v>
      </c>
      <c r="AF40" s="1103"/>
      <c r="AG40" s="1103"/>
      <c r="AH40" s="1103"/>
      <c r="AI40" s="1103"/>
      <c r="AJ40" s="1103"/>
      <c r="AK40" s="1103"/>
      <c r="AL40" s="1104"/>
      <c r="AM40" s="1103" t="str">
        <f>VLOOKUP("werte m+h",Translations!$A:$T,MATCH(Cover!DR19,Translations!A2:P2,0),0)</f>
        <v>Values
M+H</v>
      </c>
      <c r="AN40" s="1103"/>
      <c r="AO40" s="1103"/>
      <c r="AP40" s="1104"/>
      <c r="AQ40" s="1111" t="str">
        <f>VLOOKUP("bewertung m+h",Translations!$A:$T,MATCH(Cover!DR19,Translations!A2:P2,0),0)</f>
        <v>Evaluation
M+H</v>
      </c>
      <c r="AR40" s="1103"/>
      <c r="AS40" s="1103"/>
      <c r="AT40" s="1103"/>
      <c r="AU40" s="1128"/>
    </row>
    <row r="41" spans="1:50" ht="14.25" customHeight="1">
      <c r="A41" s="1105"/>
      <c r="B41" s="1106"/>
      <c r="C41" s="1106"/>
      <c r="D41" s="1107"/>
      <c r="E41" s="1112"/>
      <c r="F41" s="1106"/>
      <c r="G41" s="1106"/>
      <c r="H41" s="1106"/>
      <c r="I41" s="1106"/>
      <c r="J41" s="1107"/>
      <c r="K41" s="1131" t="str">
        <f>VLOOKUP("muster",Translations!$A:$T,MATCH(Cover!DR19,Translations!A2:P2,0),0)</f>
        <v>Samples</v>
      </c>
      <c r="L41" s="1132"/>
      <c r="M41" s="1132"/>
      <c r="N41" s="1132"/>
      <c r="O41" s="1132"/>
      <c r="P41" s="1132"/>
      <c r="Q41" s="1132"/>
      <c r="R41" s="1132"/>
      <c r="S41" s="1132"/>
      <c r="T41" s="1133"/>
      <c r="U41" s="1093"/>
      <c r="V41" s="1094"/>
      <c r="W41" s="1094"/>
      <c r="X41" s="1094"/>
      <c r="Y41" s="1094"/>
      <c r="Z41" s="1094"/>
      <c r="AA41" s="1094"/>
      <c r="AB41" s="1094"/>
      <c r="AC41" s="1094"/>
      <c r="AD41" s="1095"/>
      <c r="AE41" s="1112"/>
      <c r="AF41" s="1106"/>
      <c r="AG41" s="1106"/>
      <c r="AH41" s="1106"/>
      <c r="AI41" s="1106"/>
      <c r="AJ41" s="1106"/>
      <c r="AK41" s="1106"/>
      <c r="AL41" s="1107"/>
      <c r="AM41" s="1106"/>
      <c r="AN41" s="1106"/>
      <c r="AO41" s="1106"/>
      <c r="AP41" s="1107"/>
      <c r="AQ41" s="1112"/>
      <c r="AR41" s="1106"/>
      <c r="AS41" s="1106"/>
      <c r="AT41" s="1106"/>
      <c r="AU41" s="1129"/>
    </row>
    <row r="42" spans="1:50" ht="15.75" customHeight="1" thickBot="1">
      <c r="A42" s="1108"/>
      <c r="B42" s="1109"/>
      <c r="C42" s="1109"/>
      <c r="D42" s="1110"/>
      <c r="E42" s="1113"/>
      <c r="F42" s="1109"/>
      <c r="G42" s="1109"/>
      <c r="H42" s="1109"/>
      <c r="I42" s="1109"/>
      <c r="J42" s="1110"/>
      <c r="K42" s="1134">
        <v>1</v>
      </c>
      <c r="L42" s="1135"/>
      <c r="M42" s="1134">
        <v>2</v>
      </c>
      <c r="N42" s="1135"/>
      <c r="O42" s="1134">
        <v>3</v>
      </c>
      <c r="P42" s="1135"/>
      <c r="Q42" s="1134">
        <v>4</v>
      </c>
      <c r="R42" s="1135"/>
      <c r="S42" s="1134">
        <v>5</v>
      </c>
      <c r="T42" s="1135"/>
      <c r="U42" s="1136" t="str">
        <f>VLOOKUP("ja",Translations!$A:$T,MATCH(Cover!DR19,Translations!A2:P2,0),0)</f>
        <v>Yes</v>
      </c>
      <c r="V42" s="1137"/>
      <c r="W42" s="1137"/>
      <c r="X42" s="1137"/>
      <c r="Y42" s="1137"/>
      <c r="Z42" s="1137"/>
      <c r="AA42" s="1138"/>
      <c r="AB42" s="1114" t="str">
        <f>VLOOKUP("nein",Translations!$A:$T,MATCH(Cover!DR19,Translations!A2:P2,0),0)</f>
        <v>No</v>
      </c>
      <c r="AC42" s="1115"/>
      <c r="AD42" s="1116"/>
      <c r="AE42" s="1113"/>
      <c r="AF42" s="1109"/>
      <c r="AG42" s="1109"/>
      <c r="AH42" s="1109"/>
      <c r="AI42" s="1109"/>
      <c r="AJ42" s="1109"/>
      <c r="AK42" s="1109"/>
      <c r="AL42" s="1110"/>
      <c r="AM42" s="1109"/>
      <c r="AN42" s="1109"/>
      <c r="AO42" s="1109"/>
      <c r="AP42" s="1110"/>
      <c r="AQ42" s="1113"/>
      <c r="AR42" s="1109"/>
      <c r="AS42" s="1109"/>
      <c r="AT42" s="1109"/>
      <c r="AU42" s="1130"/>
    </row>
    <row r="43" spans="1:50" s="60" customFormat="1" ht="2.25" customHeight="1">
      <c r="A43" s="1083"/>
      <c r="B43" s="1084"/>
      <c r="C43" s="1084"/>
      <c r="D43" s="1085"/>
      <c r="E43" s="1086"/>
      <c r="F43" s="1084"/>
      <c r="G43" s="1084"/>
      <c r="H43" s="1084"/>
      <c r="I43" s="1084"/>
      <c r="J43" s="1085"/>
      <c r="K43" s="1086"/>
      <c r="L43" s="1085"/>
      <c r="M43" s="1086"/>
      <c r="N43" s="1085"/>
      <c r="O43" s="1086"/>
      <c r="P43" s="1085"/>
      <c r="Q43" s="1086"/>
      <c r="R43" s="1085"/>
      <c r="S43" s="1086"/>
      <c r="T43" s="1085"/>
      <c r="U43" s="1096"/>
      <c r="V43" s="1097"/>
      <c r="W43" s="1097"/>
      <c r="X43" s="1097"/>
      <c r="Y43" s="1097"/>
      <c r="Z43" s="1097"/>
      <c r="AA43" s="1098"/>
      <c r="AB43" s="1096"/>
      <c r="AC43" s="566"/>
      <c r="AD43" s="1098"/>
      <c r="AE43" s="1124"/>
      <c r="AF43" s="1125"/>
      <c r="AG43" s="1125"/>
      <c r="AH43" s="1125"/>
      <c r="AI43" s="1125"/>
      <c r="AJ43" s="1125"/>
      <c r="AK43" s="1125"/>
      <c r="AL43" s="1126"/>
      <c r="AM43" s="1124"/>
      <c r="AN43" s="1125"/>
      <c r="AO43" s="1125"/>
      <c r="AP43" s="1126"/>
      <c r="AQ43" s="1124"/>
      <c r="AR43" s="1125"/>
      <c r="AS43" s="1125"/>
      <c r="AT43" s="1125"/>
      <c r="AU43" s="1127"/>
    </row>
    <row r="44" spans="1:50" s="60" customFormat="1" ht="14.25" customHeight="1">
      <c r="A44" s="992"/>
      <c r="B44" s="993"/>
      <c r="C44" s="993"/>
      <c r="D44" s="994"/>
      <c r="E44" s="1045"/>
      <c r="F44" s="993"/>
      <c r="G44" s="993"/>
      <c r="H44" s="993"/>
      <c r="I44" s="993"/>
      <c r="J44" s="994"/>
      <c r="K44" s="1045"/>
      <c r="L44" s="994"/>
      <c r="M44" s="1045"/>
      <c r="N44" s="994"/>
      <c r="O44" s="1045"/>
      <c r="P44" s="994"/>
      <c r="Q44" s="1045"/>
      <c r="R44" s="994"/>
      <c r="S44" s="1045"/>
      <c r="T44" s="994"/>
      <c r="U44" s="1099"/>
      <c r="V44" s="1101"/>
      <c r="W44" s="1072"/>
      <c r="X44" s="1073"/>
      <c r="Y44" s="1073"/>
      <c r="Z44" s="1074"/>
      <c r="AA44" s="1100"/>
      <c r="AB44" s="1099"/>
      <c r="AC44" s="565"/>
      <c r="AD44" s="1100"/>
      <c r="AE44" s="1057"/>
      <c r="AF44" s="1058"/>
      <c r="AG44" s="1058"/>
      <c r="AH44" s="1058"/>
      <c r="AI44" s="1058"/>
      <c r="AJ44" s="1058"/>
      <c r="AK44" s="1058"/>
      <c r="AL44" s="1059"/>
      <c r="AM44" s="1057"/>
      <c r="AN44" s="1058"/>
      <c r="AO44" s="1058"/>
      <c r="AP44" s="1059"/>
      <c r="AQ44" s="1057"/>
      <c r="AR44" s="1058"/>
      <c r="AS44" s="1058"/>
      <c r="AT44" s="1058"/>
      <c r="AU44" s="1070"/>
    </row>
    <row r="45" spans="1:50" s="60" customFormat="1" ht="2.25" customHeight="1">
      <c r="A45" s="995"/>
      <c r="B45" s="996"/>
      <c r="C45" s="996"/>
      <c r="D45" s="997"/>
      <c r="E45" s="1082"/>
      <c r="F45" s="996"/>
      <c r="G45" s="996"/>
      <c r="H45" s="996"/>
      <c r="I45" s="996"/>
      <c r="J45" s="997"/>
      <c r="K45" s="1082"/>
      <c r="L45" s="997"/>
      <c r="M45" s="1082"/>
      <c r="N45" s="997"/>
      <c r="O45" s="1082"/>
      <c r="P45" s="997"/>
      <c r="Q45" s="1082"/>
      <c r="R45" s="997"/>
      <c r="S45" s="1082"/>
      <c r="T45" s="997"/>
      <c r="U45" s="1075"/>
      <c r="V45" s="1076"/>
      <c r="W45" s="1123"/>
      <c r="X45" s="1123"/>
      <c r="Y45" s="1123"/>
      <c r="Z45" s="1123"/>
      <c r="AA45" s="1077"/>
      <c r="AB45" s="1075"/>
      <c r="AC45" s="567"/>
      <c r="AD45" s="1077"/>
      <c r="AE45" s="1060"/>
      <c r="AF45" s="1061"/>
      <c r="AG45" s="1061"/>
      <c r="AH45" s="1061"/>
      <c r="AI45" s="1061"/>
      <c r="AJ45" s="1061"/>
      <c r="AK45" s="1061"/>
      <c r="AL45" s="1062"/>
      <c r="AM45" s="1060"/>
      <c r="AN45" s="1061"/>
      <c r="AO45" s="1061"/>
      <c r="AP45" s="1062"/>
      <c r="AQ45" s="1060"/>
      <c r="AR45" s="1061"/>
      <c r="AS45" s="1061"/>
      <c r="AT45" s="1061"/>
      <c r="AU45" s="1071"/>
    </row>
    <row r="46" spans="1:50" s="60" customFormat="1" ht="2.25" customHeight="1">
      <c r="A46" s="989"/>
      <c r="B46" s="990"/>
      <c r="C46" s="990"/>
      <c r="D46" s="991"/>
      <c r="E46" s="1044"/>
      <c r="F46" s="990"/>
      <c r="G46" s="990"/>
      <c r="H46" s="990"/>
      <c r="I46" s="990"/>
      <c r="J46" s="991"/>
      <c r="K46" s="1044"/>
      <c r="L46" s="991"/>
      <c r="M46" s="1044"/>
      <c r="N46" s="991"/>
      <c r="O46" s="1044"/>
      <c r="P46" s="991"/>
      <c r="Q46" s="1044"/>
      <c r="R46" s="991"/>
      <c r="S46" s="1044"/>
      <c r="T46" s="991"/>
      <c r="U46" s="1063"/>
      <c r="V46" s="1064"/>
      <c r="W46" s="1064"/>
      <c r="X46" s="1064"/>
      <c r="Y46" s="1064"/>
      <c r="Z46" s="1064"/>
      <c r="AA46" s="1065"/>
      <c r="AB46" s="1063"/>
      <c r="AC46" s="1064"/>
      <c r="AD46" s="1065"/>
      <c r="AE46" s="1054"/>
      <c r="AF46" s="1055"/>
      <c r="AG46" s="1055"/>
      <c r="AH46" s="1055"/>
      <c r="AI46" s="1055"/>
      <c r="AJ46" s="1055"/>
      <c r="AK46" s="1055"/>
      <c r="AL46" s="1056"/>
      <c r="AM46" s="1054"/>
      <c r="AN46" s="1055"/>
      <c r="AO46" s="1055"/>
      <c r="AP46" s="1056"/>
      <c r="AQ46" s="1054"/>
      <c r="AR46" s="1055"/>
      <c r="AS46" s="1055"/>
      <c r="AT46" s="1055"/>
      <c r="AU46" s="1069"/>
    </row>
    <row r="47" spans="1:50" s="60" customFormat="1" ht="14.25" customHeight="1">
      <c r="A47" s="992"/>
      <c r="B47" s="993"/>
      <c r="C47" s="993"/>
      <c r="D47" s="994"/>
      <c r="E47" s="1045"/>
      <c r="F47" s="993"/>
      <c r="G47" s="993"/>
      <c r="H47" s="993"/>
      <c r="I47" s="993"/>
      <c r="J47" s="994"/>
      <c r="K47" s="1045"/>
      <c r="L47" s="994"/>
      <c r="M47" s="1045"/>
      <c r="N47" s="994"/>
      <c r="O47" s="1045"/>
      <c r="P47" s="994"/>
      <c r="Q47" s="1045"/>
      <c r="R47" s="994"/>
      <c r="S47" s="1045"/>
      <c r="T47" s="994"/>
      <c r="U47" s="568"/>
      <c r="V47" s="568"/>
      <c r="W47" s="1072"/>
      <c r="X47" s="1073"/>
      <c r="Y47" s="1073"/>
      <c r="Z47" s="1074"/>
      <c r="AA47" s="569"/>
      <c r="AB47" s="568"/>
      <c r="AC47" s="565"/>
      <c r="AD47" s="569"/>
      <c r="AE47" s="1057"/>
      <c r="AF47" s="1058"/>
      <c r="AG47" s="1058"/>
      <c r="AH47" s="1058"/>
      <c r="AI47" s="1058"/>
      <c r="AJ47" s="1058"/>
      <c r="AK47" s="1058"/>
      <c r="AL47" s="1059"/>
      <c r="AM47" s="1057"/>
      <c r="AN47" s="1058"/>
      <c r="AO47" s="1058"/>
      <c r="AP47" s="1059"/>
      <c r="AQ47" s="1057"/>
      <c r="AR47" s="1058"/>
      <c r="AS47" s="1058"/>
      <c r="AT47" s="1058"/>
      <c r="AU47" s="1070"/>
    </row>
    <row r="48" spans="1:50" ht="2.25" customHeight="1">
      <c r="A48" s="995"/>
      <c r="B48" s="996"/>
      <c r="C48" s="996"/>
      <c r="D48" s="997"/>
      <c r="E48" s="1082"/>
      <c r="F48" s="996"/>
      <c r="G48" s="996"/>
      <c r="H48" s="996"/>
      <c r="I48" s="996"/>
      <c r="J48" s="997"/>
      <c r="K48" s="1082"/>
      <c r="L48" s="997"/>
      <c r="M48" s="1082"/>
      <c r="N48" s="997"/>
      <c r="O48" s="1082"/>
      <c r="P48" s="997"/>
      <c r="Q48" s="1082"/>
      <c r="R48" s="997"/>
      <c r="S48" s="1082"/>
      <c r="T48" s="997"/>
      <c r="U48" s="1075"/>
      <c r="V48" s="1076"/>
      <c r="W48" s="1076"/>
      <c r="X48" s="1076"/>
      <c r="Y48" s="1076"/>
      <c r="Z48" s="1076"/>
      <c r="AA48" s="1077"/>
      <c r="AB48" s="1075"/>
      <c r="AC48" s="1076"/>
      <c r="AD48" s="1077"/>
      <c r="AE48" s="1060"/>
      <c r="AF48" s="1061"/>
      <c r="AG48" s="1061"/>
      <c r="AH48" s="1061"/>
      <c r="AI48" s="1061"/>
      <c r="AJ48" s="1061"/>
      <c r="AK48" s="1061"/>
      <c r="AL48" s="1062"/>
      <c r="AM48" s="1060"/>
      <c r="AN48" s="1061"/>
      <c r="AO48" s="1061"/>
      <c r="AP48" s="1062"/>
      <c r="AQ48" s="1060"/>
      <c r="AR48" s="1061"/>
      <c r="AS48" s="1061"/>
      <c r="AT48" s="1061"/>
      <c r="AU48" s="1071"/>
      <c r="AV48" s="62"/>
    </row>
    <row r="49" spans="1:48" ht="2.25" customHeight="1">
      <c r="A49" s="989"/>
      <c r="B49" s="990"/>
      <c r="C49" s="990"/>
      <c r="D49" s="991"/>
      <c r="E49" s="1044"/>
      <c r="F49" s="990"/>
      <c r="G49" s="990"/>
      <c r="H49" s="990"/>
      <c r="I49" s="990"/>
      <c r="J49" s="991"/>
      <c r="K49" s="1044"/>
      <c r="L49" s="991"/>
      <c r="M49" s="1044"/>
      <c r="N49" s="991"/>
      <c r="O49" s="1044"/>
      <c r="P49" s="991"/>
      <c r="Q49" s="1044"/>
      <c r="R49" s="991"/>
      <c r="S49" s="1044"/>
      <c r="T49" s="991"/>
      <c r="U49" s="1063"/>
      <c r="V49" s="1064"/>
      <c r="W49" s="1064"/>
      <c r="X49" s="1064"/>
      <c r="Y49" s="1064"/>
      <c r="Z49" s="1064"/>
      <c r="AA49" s="1065"/>
      <c r="AB49" s="1063"/>
      <c r="AC49" s="1064"/>
      <c r="AD49" s="1065"/>
      <c r="AE49" s="1054"/>
      <c r="AF49" s="1055"/>
      <c r="AG49" s="1055"/>
      <c r="AH49" s="1055"/>
      <c r="AI49" s="1055"/>
      <c r="AJ49" s="1055"/>
      <c r="AK49" s="1055"/>
      <c r="AL49" s="1056"/>
      <c r="AM49" s="1054"/>
      <c r="AN49" s="1055"/>
      <c r="AO49" s="1055"/>
      <c r="AP49" s="1056"/>
      <c r="AQ49" s="1054"/>
      <c r="AR49" s="1055"/>
      <c r="AS49" s="1055"/>
      <c r="AT49" s="1055"/>
      <c r="AU49" s="1069"/>
      <c r="AV49" s="62"/>
    </row>
    <row r="50" spans="1:48" ht="14.25" customHeight="1">
      <c r="A50" s="992"/>
      <c r="B50" s="993"/>
      <c r="C50" s="993"/>
      <c r="D50" s="994"/>
      <c r="E50" s="1045"/>
      <c r="F50" s="993"/>
      <c r="G50" s="993"/>
      <c r="H50" s="993"/>
      <c r="I50" s="993"/>
      <c r="J50" s="994"/>
      <c r="K50" s="1045"/>
      <c r="L50" s="994"/>
      <c r="M50" s="1045"/>
      <c r="N50" s="994"/>
      <c r="O50" s="1045"/>
      <c r="P50" s="994"/>
      <c r="Q50" s="1045"/>
      <c r="R50" s="994"/>
      <c r="S50" s="1045"/>
      <c r="T50" s="994"/>
      <c r="U50" s="568"/>
      <c r="V50" s="568"/>
      <c r="W50" s="1072"/>
      <c r="X50" s="1073"/>
      <c r="Y50" s="1073"/>
      <c r="Z50" s="1074"/>
      <c r="AA50" s="569"/>
      <c r="AB50" s="568"/>
      <c r="AC50" s="565"/>
      <c r="AD50" s="569"/>
      <c r="AE50" s="1057"/>
      <c r="AF50" s="1058"/>
      <c r="AG50" s="1058"/>
      <c r="AH50" s="1058"/>
      <c r="AI50" s="1058"/>
      <c r="AJ50" s="1058"/>
      <c r="AK50" s="1058"/>
      <c r="AL50" s="1059"/>
      <c r="AM50" s="1057"/>
      <c r="AN50" s="1058"/>
      <c r="AO50" s="1058"/>
      <c r="AP50" s="1059"/>
      <c r="AQ50" s="1057"/>
      <c r="AR50" s="1058"/>
      <c r="AS50" s="1058"/>
      <c r="AT50" s="1058"/>
      <c r="AU50" s="1070"/>
      <c r="AV50" s="62"/>
    </row>
    <row r="51" spans="1:48" ht="2.25" customHeight="1">
      <c r="A51" s="995"/>
      <c r="B51" s="996"/>
      <c r="C51" s="996"/>
      <c r="D51" s="997"/>
      <c r="E51" s="1082"/>
      <c r="F51" s="996"/>
      <c r="G51" s="996"/>
      <c r="H51" s="996"/>
      <c r="I51" s="996"/>
      <c r="J51" s="997"/>
      <c r="K51" s="1082"/>
      <c r="L51" s="997"/>
      <c r="M51" s="1082"/>
      <c r="N51" s="997"/>
      <c r="O51" s="1082"/>
      <c r="P51" s="997"/>
      <c r="Q51" s="1082"/>
      <c r="R51" s="997"/>
      <c r="S51" s="1082"/>
      <c r="T51" s="997"/>
      <c r="U51" s="1075"/>
      <c r="V51" s="1076"/>
      <c r="W51" s="1076"/>
      <c r="X51" s="1076"/>
      <c r="Y51" s="1076"/>
      <c r="Z51" s="1076"/>
      <c r="AA51" s="1077"/>
      <c r="AB51" s="1075"/>
      <c r="AC51" s="1076"/>
      <c r="AD51" s="1077"/>
      <c r="AE51" s="1060"/>
      <c r="AF51" s="1061"/>
      <c r="AG51" s="1061"/>
      <c r="AH51" s="1061"/>
      <c r="AI51" s="1061"/>
      <c r="AJ51" s="1061"/>
      <c r="AK51" s="1061"/>
      <c r="AL51" s="1062"/>
      <c r="AM51" s="1060"/>
      <c r="AN51" s="1061"/>
      <c r="AO51" s="1061"/>
      <c r="AP51" s="1062"/>
      <c r="AQ51" s="1060"/>
      <c r="AR51" s="1061"/>
      <c r="AS51" s="1061"/>
      <c r="AT51" s="1061"/>
      <c r="AU51" s="1071"/>
      <c r="AV51" s="62"/>
    </row>
    <row r="52" spans="1:48" ht="2.25" customHeight="1">
      <c r="A52" s="989"/>
      <c r="B52" s="990"/>
      <c r="C52" s="990"/>
      <c r="D52" s="991"/>
      <c r="E52" s="1044"/>
      <c r="F52" s="990"/>
      <c r="G52" s="990"/>
      <c r="H52" s="990"/>
      <c r="I52" s="990"/>
      <c r="J52" s="991"/>
      <c r="K52" s="1044"/>
      <c r="L52" s="991"/>
      <c r="M52" s="1044"/>
      <c r="N52" s="991"/>
      <c r="O52" s="1044"/>
      <c r="P52" s="991"/>
      <c r="Q52" s="1044"/>
      <c r="R52" s="991"/>
      <c r="S52" s="1044"/>
      <c r="T52" s="991"/>
      <c r="U52" s="1063"/>
      <c r="V52" s="1064"/>
      <c r="W52" s="1064"/>
      <c r="X52" s="1064"/>
      <c r="Y52" s="1064"/>
      <c r="Z52" s="1064"/>
      <c r="AA52" s="1065"/>
      <c r="AB52" s="1063"/>
      <c r="AC52" s="1064"/>
      <c r="AD52" s="1065"/>
      <c r="AE52" s="1054"/>
      <c r="AF52" s="1055"/>
      <c r="AG52" s="1055"/>
      <c r="AH52" s="1055"/>
      <c r="AI52" s="1055"/>
      <c r="AJ52" s="1055"/>
      <c r="AK52" s="1055"/>
      <c r="AL52" s="1056"/>
      <c r="AM52" s="1054"/>
      <c r="AN52" s="1055"/>
      <c r="AO52" s="1055"/>
      <c r="AP52" s="1056"/>
      <c r="AQ52" s="1054"/>
      <c r="AR52" s="1055"/>
      <c r="AS52" s="1055"/>
      <c r="AT52" s="1055"/>
      <c r="AU52" s="1069"/>
      <c r="AV52" s="62"/>
    </row>
    <row r="53" spans="1:48" ht="14.25" customHeight="1">
      <c r="A53" s="992"/>
      <c r="B53" s="993"/>
      <c r="C53" s="993"/>
      <c r="D53" s="994"/>
      <c r="E53" s="1045"/>
      <c r="F53" s="993"/>
      <c r="G53" s="993"/>
      <c r="H53" s="993"/>
      <c r="I53" s="993"/>
      <c r="J53" s="994"/>
      <c r="K53" s="1045"/>
      <c r="L53" s="994"/>
      <c r="M53" s="1045"/>
      <c r="N53" s="994"/>
      <c r="O53" s="1045"/>
      <c r="P53" s="994"/>
      <c r="Q53" s="1045"/>
      <c r="R53" s="994"/>
      <c r="S53" s="1045"/>
      <c r="T53" s="994"/>
      <c r="U53" s="568"/>
      <c r="V53" s="568"/>
      <c r="W53" s="1072"/>
      <c r="X53" s="1073"/>
      <c r="Y53" s="1073"/>
      <c r="Z53" s="1074"/>
      <c r="AA53" s="569"/>
      <c r="AB53" s="568"/>
      <c r="AC53" s="565"/>
      <c r="AD53" s="569"/>
      <c r="AE53" s="1057"/>
      <c r="AF53" s="1058"/>
      <c r="AG53" s="1058"/>
      <c r="AH53" s="1058"/>
      <c r="AI53" s="1058"/>
      <c r="AJ53" s="1058"/>
      <c r="AK53" s="1058"/>
      <c r="AL53" s="1059"/>
      <c r="AM53" s="1057"/>
      <c r="AN53" s="1058"/>
      <c r="AO53" s="1058"/>
      <c r="AP53" s="1059"/>
      <c r="AQ53" s="1057"/>
      <c r="AR53" s="1058"/>
      <c r="AS53" s="1058"/>
      <c r="AT53" s="1058"/>
      <c r="AU53" s="1070"/>
      <c r="AV53" s="62"/>
    </row>
    <row r="54" spans="1:48" ht="2.25" customHeight="1">
      <c r="A54" s="995"/>
      <c r="B54" s="996"/>
      <c r="C54" s="996"/>
      <c r="D54" s="997"/>
      <c r="E54" s="1082"/>
      <c r="F54" s="996"/>
      <c r="G54" s="996"/>
      <c r="H54" s="996"/>
      <c r="I54" s="996"/>
      <c r="J54" s="997"/>
      <c r="K54" s="1082"/>
      <c r="L54" s="997"/>
      <c r="M54" s="1082"/>
      <c r="N54" s="997"/>
      <c r="O54" s="1082"/>
      <c r="P54" s="997"/>
      <c r="Q54" s="1082"/>
      <c r="R54" s="997"/>
      <c r="S54" s="1082"/>
      <c r="T54" s="997"/>
      <c r="U54" s="1075"/>
      <c r="V54" s="1076"/>
      <c r="W54" s="1076"/>
      <c r="X54" s="1076"/>
      <c r="Y54" s="1076"/>
      <c r="Z54" s="1076"/>
      <c r="AA54" s="1077"/>
      <c r="AB54" s="1075"/>
      <c r="AC54" s="1076"/>
      <c r="AD54" s="1077"/>
      <c r="AE54" s="1060"/>
      <c r="AF54" s="1061"/>
      <c r="AG54" s="1061"/>
      <c r="AH54" s="1061"/>
      <c r="AI54" s="1061"/>
      <c r="AJ54" s="1061"/>
      <c r="AK54" s="1061"/>
      <c r="AL54" s="1062"/>
      <c r="AM54" s="1060"/>
      <c r="AN54" s="1061"/>
      <c r="AO54" s="1061"/>
      <c r="AP54" s="1062"/>
      <c r="AQ54" s="1060"/>
      <c r="AR54" s="1061"/>
      <c r="AS54" s="1061"/>
      <c r="AT54" s="1061"/>
      <c r="AU54" s="1071"/>
      <c r="AV54" s="62"/>
    </row>
    <row r="55" spans="1:48" ht="2.25" customHeight="1">
      <c r="A55" s="989"/>
      <c r="B55" s="990"/>
      <c r="C55" s="990"/>
      <c r="D55" s="991"/>
      <c r="E55" s="1044"/>
      <c r="F55" s="990"/>
      <c r="G55" s="990"/>
      <c r="H55" s="990"/>
      <c r="I55" s="990"/>
      <c r="J55" s="991"/>
      <c r="K55" s="1044"/>
      <c r="L55" s="991"/>
      <c r="M55" s="1044"/>
      <c r="N55" s="991"/>
      <c r="O55" s="1044"/>
      <c r="P55" s="991"/>
      <c r="Q55" s="1044"/>
      <c r="R55" s="991"/>
      <c r="S55" s="1044"/>
      <c r="T55" s="991"/>
      <c r="U55" s="1063"/>
      <c r="V55" s="1064"/>
      <c r="W55" s="1064"/>
      <c r="X55" s="1064"/>
      <c r="Y55" s="1064"/>
      <c r="Z55" s="1064"/>
      <c r="AA55" s="1065"/>
      <c r="AB55" s="1063"/>
      <c r="AC55" s="1064"/>
      <c r="AD55" s="1065"/>
      <c r="AE55" s="1054"/>
      <c r="AF55" s="1055"/>
      <c r="AG55" s="1055"/>
      <c r="AH55" s="1055"/>
      <c r="AI55" s="1055"/>
      <c r="AJ55" s="1055"/>
      <c r="AK55" s="1055"/>
      <c r="AL55" s="1056"/>
      <c r="AM55" s="1054"/>
      <c r="AN55" s="1055"/>
      <c r="AO55" s="1055"/>
      <c r="AP55" s="1056"/>
      <c r="AQ55" s="1054"/>
      <c r="AR55" s="1055"/>
      <c r="AS55" s="1055"/>
      <c r="AT55" s="1055"/>
      <c r="AU55" s="1069"/>
      <c r="AV55" s="62"/>
    </row>
    <row r="56" spans="1:48" ht="14.25" customHeight="1">
      <c r="A56" s="992"/>
      <c r="B56" s="993"/>
      <c r="C56" s="993"/>
      <c r="D56" s="994"/>
      <c r="E56" s="1045"/>
      <c r="F56" s="993"/>
      <c r="G56" s="993"/>
      <c r="H56" s="993"/>
      <c r="I56" s="993"/>
      <c r="J56" s="994"/>
      <c r="K56" s="1045"/>
      <c r="L56" s="994"/>
      <c r="M56" s="1045"/>
      <c r="N56" s="994"/>
      <c r="O56" s="1045"/>
      <c r="P56" s="994"/>
      <c r="Q56" s="1045"/>
      <c r="R56" s="994"/>
      <c r="S56" s="1045"/>
      <c r="T56" s="994"/>
      <c r="U56" s="568"/>
      <c r="V56" s="568"/>
      <c r="W56" s="1072"/>
      <c r="X56" s="1073"/>
      <c r="Y56" s="1073"/>
      <c r="Z56" s="1074"/>
      <c r="AA56" s="569"/>
      <c r="AB56" s="568"/>
      <c r="AC56" s="565"/>
      <c r="AD56" s="569"/>
      <c r="AE56" s="1057"/>
      <c r="AF56" s="1058"/>
      <c r="AG56" s="1058"/>
      <c r="AH56" s="1058"/>
      <c r="AI56" s="1058"/>
      <c r="AJ56" s="1058"/>
      <c r="AK56" s="1058"/>
      <c r="AL56" s="1059"/>
      <c r="AM56" s="1057"/>
      <c r="AN56" s="1058"/>
      <c r="AO56" s="1058"/>
      <c r="AP56" s="1059"/>
      <c r="AQ56" s="1057"/>
      <c r="AR56" s="1058"/>
      <c r="AS56" s="1058"/>
      <c r="AT56" s="1058"/>
      <c r="AU56" s="1070"/>
      <c r="AV56" s="62"/>
    </row>
    <row r="57" spans="1:48" ht="2.25" customHeight="1">
      <c r="A57" s="995"/>
      <c r="B57" s="996"/>
      <c r="C57" s="996"/>
      <c r="D57" s="997"/>
      <c r="E57" s="1082"/>
      <c r="F57" s="996"/>
      <c r="G57" s="996"/>
      <c r="H57" s="996"/>
      <c r="I57" s="996"/>
      <c r="J57" s="997"/>
      <c r="K57" s="1082"/>
      <c r="L57" s="997"/>
      <c r="M57" s="1082"/>
      <c r="N57" s="997"/>
      <c r="O57" s="1082"/>
      <c r="P57" s="997"/>
      <c r="Q57" s="1082"/>
      <c r="R57" s="997"/>
      <c r="S57" s="1082"/>
      <c r="T57" s="997"/>
      <c r="U57" s="1075"/>
      <c r="V57" s="1076"/>
      <c r="W57" s="1076"/>
      <c r="X57" s="1076"/>
      <c r="Y57" s="1076"/>
      <c r="Z57" s="1076"/>
      <c r="AA57" s="1077"/>
      <c r="AB57" s="1075"/>
      <c r="AC57" s="1076"/>
      <c r="AD57" s="1077"/>
      <c r="AE57" s="1060"/>
      <c r="AF57" s="1061"/>
      <c r="AG57" s="1061"/>
      <c r="AH57" s="1061"/>
      <c r="AI57" s="1061"/>
      <c r="AJ57" s="1061"/>
      <c r="AK57" s="1061"/>
      <c r="AL57" s="1062"/>
      <c r="AM57" s="1060"/>
      <c r="AN57" s="1061"/>
      <c r="AO57" s="1061"/>
      <c r="AP57" s="1062"/>
      <c r="AQ57" s="1060"/>
      <c r="AR57" s="1061"/>
      <c r="AS57" s="1061"/>
      <c r="AT57" s="1061"/>
      <c r="AU57" s="1071"/>
      <c r="AV57" s="62"/>
    </row>
    <row r="58" spans="1:48" ht="2.25" customHeight="1">
      <c r="A58" s="989"/>
      <c r="B58" s="990"/>
      <c r="C58" s="990"/>
      <c r="D58" s="991"/>
      <c r="E58" s="1044"/>
      <c r="F58" s="990"/>
      <c r="G58" s="990"/>
      <c r="H58" s="990"/>
      <c r="I58" s="990"/>
      <c r="J58" s="991"/>
      <c r="K58" s="1044"/>
      <c r="L58" s="991"/>
      <c r="M58" s="1044"/>
      <c r="N58" s="991"/>
      <c r="O58" s="1044"/>
      <c r="P58" s="991"/>
      <c r="Q58" s="1044"/>
      <c r="R58" s="991"/>
      <c r="S58" s="1044"/>
      <c r="T58" s="991"/>
      <c r="U58" s="1063"/>
      <c r="V58" s="1064"/>
      <c r="W58" s="1064"/>
      <c r="X58" s="1064"/>
      <c r="Y58" s="1064"/>
      <c r="Z58" s="1064"/>
      <c r="AA58" s="1065"/>
      <c r="AB58" s="1063"/>
      <c r="AC58" s="1064"/>
      <c r="AD58" s="1065"/>
      <c r="AE58" s="1054"/>
      <c r="AF58" s="1055"/>
      <c r="AG58" s="1055"/>
      <c r="AH58" s="1055"/>
      <c r="AI58" s="1055"/>
      <c r="AJ58" s="1055"/>
      <c r="AK58" s="1055"/>
      <c r="AL58" s="1056"/>
      <c r="AM58" s="1054"/>
      <c r="AN58" s="1055"/>
      <c r="AO58" s="1055"/>
      <c r="AP58" s="1056"/>
      <c r="AQ58" s="1054"/>
      <c r="AR58" s="1055"/>
      <c r="AS58" s="1055"/>
      <c r="AT58" s="1055"/>
      <c r="AU58" s="1069"/>
      <c r="AV58" s="62"/>
    </row>
    <row r="59" spans="1:48" ht="14.25" customHeight="1">
      <c r="A59" s="992"/>
      <c r="B59" s="993"/>
      <c r="C59" s="993"/>
      <c r="D59" s="994"/>
      <c r="E59" s="1045"/>
      <c r="F59" s="993"/>
      <c r="G59" s="993"/>
      <c r="H59" s="993"/>
      <c r="I59" s="993"/>
      <c r="J59" s="994"/>
      <c r="K59" s="1045"/>
      <c r="L59" s="994"/>
      <c r="M59" s="1045"/>
      <c r="N59" s="994"/>
      <c r="O59" s="1045"/>
      <c r="P59" s="994"/>
      <c r="Q59" s="1045"/>
      <c r="R59" s="994"/>
      <c r="S59" s="1045"/>
      <c r="T59" s="994"/>
      <c r="U59" s="568"/>
      <c r="V59" s="568"/>
      <c r="W59" s="1072"/>
      <c r="X59" s="1073"/>
      <c r="Y59" s="1073"/>
      <c r="Z59" s="1074"/>
      <c r="AA59" s="569"/>
      <c r="AB59" s="568"/>
      <c r="AC59" s="565"/>
      <c r="AD59" s="569"/>
      <c r="AE59" s="1057"/>
      <c r="AF59" s="1058"/>
      <c r="AG59" s="1058"/>
      <c r="AH59" s="1058"/>
      <c r="AI59" s="1058"/>
      <c r="AJ59" s="1058"/>
      <c r="AK59" s="1058"/>
      <c r="AL59" s="1059"/>
      <c r="AM59" s="1057"/>
      <c r="AN59" s="1058"/>
      <c r="AO59" s="1058"/>
      <c r="AP59" s="1059"/>
      <c r="AQ59" s="1057"/>
      <c r="AR59" s="1058"/>
      <c r="AS59" s="1058"/>
      <c r="AT59" s="1058"/>
      <c r="AU59" s="1070"/>
      <c r="AV59" s="62"/>
    </row>
    <row r="60" spans="1:48" ht="2.25" customHeight="1">
      <c r="A60" s="995"/>
      <c r="B60" s="996"/>
      <c r="C60" s="996"/>
      <c r="D60" s="997"/>
      <c r="E60" s="1082"/>
      <c r="F60" s="996"/>
      <c r="G60" s="996"/>
      <c r="H60" s="996"/>
      <c r="I60" s="996"/>
      <c r="J60" s="997"/>
      <c r="K60" s="1082"/>
      <c r="L60" s="997"/>
      <c r="M60" s="1082"/>
      <c r="N60" s="997"/>
      <c r="O60" s="1082"/>
      <c r="P60" s="997"/>
      <c r="Q60" s="1082"/>
      <c r="R60" s="997"/>
      <c r="S60" s="1082"/>
      <c r="T60" s="997"/>
      <c r="U60" s="1075"/>
      <c r="V60" s="1076"/>
      <c r="W60" s="1076"/>
      <c r="X60" s="1076"/>
      <c r="Y60" s="1076"/>
      <c r="Z60" s="1076"/>
      <c r="AA60" s="1077"/>
      <c r="AB60" s="1075"/>
      <c r="AC60" s="1076"/>
      <c r="AD60" s="1077"/>
      <c r="AE60" s="1060"/>
      <c r="AF60" s="1061"/>
      <c r="AG60" s="1061"/>
      <c r="AH60" s="1061"/>
      <c r="AI60" s="1061"/>
      <c r="AJ60" s="1061"/>
      <c r="AK60" s="1061"/>
      <c r="AL60" s="1062"/>
      <c r="AM60" s="1060"/>
      <c r="AN60" s="1061"/>
      <c r="AO60" s="1061"/>
      <c r="AP60" s="1062"/>
      <c r="AQ60" s="1060"/>
      <c r="AR60" s="1061"/>
      <c r="AS60" s="1061"/>
      <c r="AT60" s="1061"/>
      <c r="AU60" s="1071"/>
      <c r="AV60" s="62"/>
    </row>
    <row r="61" spans="1:48" ht="2.25" customHeight="1">
      <c r="A61" s="989"/>
      <c r="B61" s="990"/>
      <c r="C61" s="990"/>
      <c r="D61" s="991"/>
      <c r="E61" s="1044"/>
      <c r="F61" s="990"/>
      <c r="G61" s="990"/>
      <c r="H61" s="990"/>
      <c r="I61" s="990"/>
      <c r="J61" s="991"/>
      <c r="K61" s="1044"/>
      <c r="L61" s="991"/>
      <c r="M61" s="1044"/>
      <c r="N61" s="991"/>
      <c r="O61" s="1044"/>
      <c r="P61" s="991"/>
      <c r="Q61" s="1044"/>
      <c r="R61" s="991"/>
      <c r="S61" s="1044"/>
      <c r="T61" s="991"/>
      <c r="U61" s="1063"/>
      <c r="V61" s="1064"/>
      <c r="W61" s="1064"/>
      <c r="X61" s="1064"/>
      <c r="Y61" s="1064"/>
      <c r="Z61" s="1064"/>
      <c r="AA61" s="1065"/>
      <c r="AB61" s="1063"/>
      <c r="AC61" s="1064"/>
      <c r="AD61" s="1065"/>
      <c r="AE61" s="1054"/>
      <c r="AF61" s="1055"/>
      <c r="AG61" s="1055"/>
      <c r="AH61" s="1055"/>
      <c r="AI61" s="1055"/>
      <c r="AJ61" s="1055"/>
      <c r="AK61" s="1055"/>
      <c r="AL61" s="1056"/>
      <c r="AM61" s="1054"/>
      <c r="AN61" s="1055"/>
      <c r="AO61" s="1055"/>
      <c r="AP61" s="1056"/>
      <c r="AQ61" s="1054"/>
      <c r="AR61" s="1055"/>
      <c r="AS61" s="1055"/>
      <c r="AT61" s="1055"/>
      <c r="AU61" s="1069"/>
      <c r="AV61" s="62"/>
    </row>
    <row r="62" spans="1:48" ht="14.25" customHeight="1">
      <c r="A62" s="992"/>
      <c r="B62" s="993"/>
      <c r="C62" s="993"/>
      <c r="D62" s="994"/>
      <c r="E62" s="1045"/>
      <c r="F62" s="993"/>
      <c r="G62" s="993"/>
      <c r="H62" s="993"/>
      <c r="I62" s="993"/>
      <c r="J62" s="994"/>
      <c r="K62" s="1045"/>
      <c r="L62" s="994"/>
      <c r="M62" s="1045"/>
      <c r="N62" s="994"/>
      <c r="O62" s="1045"/>
      <c r="P62" s="994"/>
      <c r="Q62" s="1045"/>
      <c r="R62" s="994"/>
      <c r="S62" s="1045"/>
      <c r="T62" s="994"/>
      <c r="U62" s="568"/>
      <c r="V62" s="568"/>
      <c r="W62" s="1072"/>
      <c r="X62" s="1073"/>
      <c r="Y62" s="1073"/>
      <c r="Z62" s="1074"/>
      <c r="AA62" s="569"/>
      <c r="AB62" s="568"/>
      <c r="AC62" s="565"/>
      <c r="AD62" s="569"/>
      <c r="AE62" s="1057"/>
      <c r="AF62" s="1058"/>
      <c r="AG62" s="1058"/>
      <c r="AH62" s="1058"/>
      <c r="AI62" s="1058"/>
      <c r="AJ62" s="1058"/>
      <c r="AK62" s="1058"/>
      <c r="AL62" s="1059"/>
      <c r="AM62" s="1057"/>
      <c r="AN62" s="1058"/>
      <c r="AO62" s="1058"/>
      <c r="AP62" s="1059"/>
      <c r="AQ62" s="1057"/>
      <c r="AR62" s="1058"/>
      <c r="AS62" s="1058"/>
      <c r="AT62" s="1058"/>
      <c r="AU62" s="1070"/>
      <c r="AV62" s="62"/>
    </row>
    <row r="63" spans="1:48" ht="2.25" customHeight="1">
      <c r="A63" s="995"/>
      <c r="B63" s="996"/>
      <c r="C63" s="996"/>
      <c r="D63" s="997"/>
      <c r="E63" s="1082"/>
      <c r="F63" s="996"/>
      <c r="G63" s="996"/>
      <c r="H63" s="996"/>
      <c r="I63" s="996"/>
      <c r="J63" s="997"/>
      <c r="K63" s="1082"/>
      <c r="L63" s="997"/>
      <c r="M63" s="1082"/>
      <c r="N63" s="997"/>
      <c r="O63" s="1082"/>
      <c r="P63" s="997"/>
      <c r="Q63" s="1082"/>
      <c r="R63" s="997"/>
      <c r="S63" s="1082"/>
      <c r="T63" s="997"/>
      <c r="U63" s="1075"/>
      <c r="V63" s="1076"/>
      <c r="W63" s="1076"/>
      <c r="X63" s="1076"/>
      <c r="Y63" s="1076"/>
      <c r="Z63" s="1076"/>
      <c r="AA63" s="1077"/>
      <c r="AB63" s="1075"/>
      <c r="AC63" s="1076"/>
      <c r="AD63" s="1077"/>
      <c r="AE63" s="1060"/>
      <c r="AF63" s="1061"/>
      <c r="AG63" s="1061"/>
      <c r="AH63" s="1061"/>
      <c r="AI63" s="1061"/>
      <c r="AJ63" s="1061"/>
      <c r="AK63" s="1061"/>
      <c r="AL63" s="1062"/>
      <c r="AM63" s="1060"/>
      <c r="AN63" s="1061"/>
      <c r="AO63" s="1061"/>
      <c r="AP63" s="1062"/>
      <c r="AQ63" s="1060"/>
      <c r="AR63" s="1061"/>
      <c r="AS63" s="1061"/>
      <c r="AT63" s="1061"/>
      <c r="AU63" s="1071"/>
      <c r="AV63" s="62"/>
    </row>
    <row r="64" spans="1:48" ht="2.25" customHeight="1">
      <c r="A64" s="989"/>
      <c r="B64" s="990"/>
      <c r="C64" s="990"/>
      <c r="D64" s="991"/>
      <c r="E64" s="1044"/>
      <c r="F64" s="990"/>
      <c r="G64" s="990"/>
      <c r="H64" s="990"/>
      <c r="I64" s="990"/>
      <c r="J64" s="991"/>
      <c r="K64" s="1044"/>
      <c r="L64" s="991"/>
      <c r="M64" s="1044"/>
      <c r="N64" s="991"/>
      <c r="O64" s="1044"/>
      <c r="P64" s="991"/>
      <c r="Q64" s="1044"/>
      <c r="R64" s="991"/>
      <c r="S64" s="1044"/>
      <c r="T64" s="991"/>
      <c r="U64" s="1063"/>
      <c r="V64" s="1064"/>
      <c r="W64" s="1064"/>
      <c r="X64" s="1064"/>
      <c r="Y64" s="1064"/>
      <c r="Z64" s="1064"/>
      <c r="AA64" s="1065"/>
      <c r="AB64" s="1063"/>
      <c r="AC64" s="1064"/>
      <c r="AD64" s="1065"/>
      <c r="AE64" s="1054"/>
      <c r="AF64" s="1055"/>
      <c r="AG64" s="1055"/>
      <c r="AH64" s="1055"/>
      <c r="AI64" s="1055"/>
      <c r="AJ64" s="1055"/>
      <c r="AK64" s="1055"/>
      <c r="AL64" s="1056"/>
      <c r="AM64" s="1054"/>
      <c r="AN64" s="1055"/>
      <c r="AO64" s="1055"/>
      <c r="AP64" s="1056"/>
      <c r="AQ64" s="1054"/>
      <c r="AR64" s="1055"/>
      <c r="AS64" s="1055"/>
      <c r="AT64" s="1055"/>
      <c r="AU64" s="1069"/>
      <c r="AV64" s="62"/>
    </row>
    <row r="65" spans="1:48" ht="14.25" customHeight="1">
      <c r="A65" s="992"/>
      <c r="B65" s="993"/>
      <c r="C65" s="993"/>
      <c r="D65" s="994"/>
      <c r="E65" s="1045"/>
      <c r="F65" s="993"/>
      <c r="G65" s="993"/>
      <c r="H65" s="993"/>
      <c r="I65" s="993"/>
      <c r="J65" s="994"/>
      <c r="K65" s="1045"/>
      <c r="L65" s="994"/>
      <c r="M65" s="1045"/>
      <c r="N65" s="994"/>
      <c r="O65" s="1045"/>
      <c r="P65" s="994"/>
      <c r="Q65" s="1045"/>
      <c r="R65" s="994"/>
      <c r="S65" s="1045"/>
      <c r="T65" s="994"/>
      <c r="U65" s="568"/>
      <c r="V65" s="568"/>
      <c r="W65" s="1072"/>
      <c r="X65" s="1073"/>
      <c r="Y65" s="1073"/>
      <c r="Z65" s="1074"/>
      <c r="AA65" s="569"/>
      <c r="AB65" s="568"/>
      <c r="AC65" s="565"/>
      <c r="AD65" s="569"/>
      <c r="AE65" s="1057"/>
      <c r="AF65" s="1058"/>
      <c r="AG65" s="1058"/>
      <c r="AH65" s="1058"/>
      <c r="AI65" s="1058"/>
      <c r="AJ65" s="1058"/>
      <c r="AK65" s="1058"/>
      <c r="AL65" s="1059"/>
      <c r="AM65" s="1057"/>
      <c r="AN65" s="1058"/>
      <c r="AO65" s="1058"/>
      <c r="AP65" s="1059"/>
      <c r="AQ65" s="1057"/>
      <c r="AR65" s="1058"/>
      <c r="AS65" s="1058"/>
      <c r="AT65" s="1058"/>
      <c r="AU65" s="1070"/>
      <c r="AV65" s="62"/>
    </row>
    <row r="66" spans="1:48" ht="2.25" customHeight="1">
      <c r="A66" s="995"/>
      <c r="B66" s="996"/>
      <c r="C66" s="996"/>
      <c r="D66" s="997"/>
      <c r="E66" s="1082"/>
      <c r="F66" s="996"/>
      <c r="G66" s="996"/>
      <c r="H66" s="996"/>
      <c r="I66" s="996"/>
      <c r="J66" s="997"/>
      <c r="K66" s="1082"/>
      <c r="L66" s="997"/>
      <c r="M66" s="1082"/>
      <c r="N66" s="997"/>
      <c r="O66" s="1082"/>
      <c r="P66" s="997"/>
      <c r="Q66" s="1082"/>
      <c r="R66" s="997"/>
      <c r="S66" s="1082"/>
      <c r="T66" s="997"/>
      <c r="U66" s="1075"/>
      <c r="V66" s="1076"/>
      <c r="W66" s="1076"/>
      <c r="X66" s="1076"/>
      <c r="Y66" s="1076"/>
      <c r="Z66" s="1076"/>
      <c r="AA66" s="1077"/>
      <c r="AB66" s="1075"/>
      <c r="AC66" s="1076"/>
      <c r="AD66" s="1077"/>
      <c r="AE66" s="1060"/>
      <c r="AF66" s="1061"/>
      <c r="AG66" s="1061"/>
      <c r="AH66" s="1061"/>
      <c r="AI66" s="1061"/>
      <c r="AJ66" s="1061"/>
      <c r="AK66" s="1061"/>
      <c r="AL66" s="1062"/>
      <c r="AM66" s="1060"/>
      <c r="AN66" s="1061"/>
      <c r="AO66" s="1061"/>
      <c r="AP66" s="1062"/>
      <c r="AQ66" s="1060"/>
      <c r="AR66" s="1061"/>
      <c r="AS66" s="1061"/>
      <c r="AT66" s="1061"/>
      <c r="AU66" s="1071"/>
      <c r="AV66" s="62"/>
    </row>
    <row r="67" spans="1:48" ht="2.25" customHeight="1">
      <c r="A67" s="989"/>
      <c r="B67" s="990"/>
      <c r="C67" s="990"/>
      <c r="D67" s="991"/>
      <c r="E67" s="1044"/>
      <c r="F67" s="990"/>
      <c r="G67" s="990"/>
      <c r="H67" s="990"/>
      <c r="I67" s="990"/>
      <c r="J67" s="991"/>
      <c r="K67" s="1044"/>
      <c r="L67" s="991"/>
      <c r="M67" s="1044"/>
      <c r="N67" s="991"/>
      <c r="O67" s="1044"/>
      <c r="P67" s="991"/>
      <c r="Q67" s="1044"/>
      <c r="R67" s="991"/>
      <c r="S67" s="1044"/>
      <c r="T67" s="991"/>
      <c r="U67" s="1063"/>
      <c r="V67" s="1064"/>
      <c r="W67" s="1064"/>
      <c r="X67" s="1064"/>
      <c r="Y67" s="1064"/>
      <c r="Z67" s="1064"/>
      <c r="AA67" s="1065"/>
      <c r="AB67" s="1063"/>
      <c r="AC67" s="1064"/>
      <c r="AD67" s="1065"/>
      <c r="AE67" s="1054"/>
      <c r="AF67" s="1055"/>
      <c r="AG67" s="1055"/>
      <c r="AH67" s="1055"/>
      <c r="AI67" s="1055"/>
      <c r="AJ67" s="1055"/>
      <c r="AK67" s="1055"/>
      <c r="AL67" s="1056"/>
      <c r="AM67" s="1054"/>
      <c r="AN67" s="1055"/>
      <c r="AO67" s="1055"/>
      <c r="AP67" s="1056"/>
      <c r="AQ67" s="1054"/>
      <c r="AR67" s="1055"/>
      <c r="AS67" s="1055"/>
      <c r="AT67" s="1055"/>
      <c r="AU67" s="1069"/>
      <c r="AV67" s="62"/>
    </row>
    <row r="68" spans="1:48" ht="14.25" customHeight="1">
      <c r="A68" s="992"/>
      <c r="B68" s="993"/>
      <c r="C68" s="993"/>
      <c r="D68" s="994"/>
      <c r="E68" s="1045"/>
      <c r="F68" s="993"/>
      <c r="G68" s="993"/>
      <c r="H68" s="993"/>
      <c r="I68" s="993"/>
      <c r="J68" s="994"/>
      <c r="K68" s="1045"/>
      <c r="L68" s="994"/>
      <c r="M68" s="1045"/>
      <c r="N68" s="994"/>
      <c r="O68" s="1045"/>
      <c r="P68" s="994"/>
      <c r="Q68" s="1045"/>
      <c r="R68" s="994"/>
      <c r="S68" s="1045"/>
      <c r="T68" s="994"/>
      <c r="U68" s="568"/>
      <c r="V68" s="568"/>
      <c r="W68" s="1072"/>
      <c r="X68" s="1073"/>
      <c r="Y68" s="1073"/>
      <c r="Z68" s="1074"/>
      <c r="AA68" s="569"/>
      <c r="AB68" s="568"/>
      <c r="AC68" s="565"/>
      <c r="AD68" s="569"/>
      <c r="AE68" s="1057"/>
      <c r="AF68" s="1058"/>
      <c r="AG68" s="1058"/>
      <c r="AH68" s="1058"/>
      <c r="AI68" s="1058"/>
      <c r="AJ68" s="1058"/>
      <c r="AK68" s="1058"/>
      <c r="AL68" s="1059"/>
      <c r="AM68" s="1057"/>
      <c r="AN68" s="1058"/>
      <c r="AO68" s="1058"/>
      <c r="AP68" s="1059"/>
      <c r="AQ68" s="1057"/>
      <c r="AR68" s="1058"/>
      <c r="AS68" s="1058"/>
      <c r="AT68" s="1058"/>
      <c r="AU68" s="1070"/>
      <c r="AV68" s="62"/>
    </row>
    <row r="69" spans="1:48" ht="2.25" customHeight="1">
      <c r="A69" s="995"/>
      <c r="B69" s="996"/>
      <c r="C69" s="996"/>
      <c r="D69" s="997"/>
      <c r="E69" s="1082"/>
      <c r="F69" s="996"/>
      <c r="G69" s="996"/>
      <c r="H69" s="996"/>
      <c r="I69" s="996"/>
      <c r="J69" s="997"/>
      <c r="K69" s="1082"/>
      <c r="L69" s="997"/>
      <c r="M69" s="1082"/>
      <c r="N69" s="997"/>
      <c r="O69" s="1082"/>
      <c r="P69" s="997"/>
      <c r="Q69" s="1082"/>
      <c r="R69" s="997"/>
      <c r="S69" s="1082"/>
      <c r="T69" s="997"/>
      <c r="U69" s="1075"/>
      <c r="V69" s="1076"/>
      <c r="W69" s="1076"/>
      <c r="X69" s="1076"/>
      <c r="Y69" s="1076"/>
      <c r="Z69" s="1076"/>
      <c r="AA69" s="1077"/>
      <c r="AB69" s="1075"/>
      <c r="AC69" s="1076"/>
      <c r="AD69" s="1077"/>
      <c r="AE69" s="1060"/>
      <c r="AF69" s="1061"/>
      <c r="AG69" s="1061"/>
      <c r="AH69" s="1061"/>
      <c r="AI69" s="1061"/>
      <c r="AJ69" s="1061"/>
      <c r="AK69" s="1061"/>
      <c r="AL69" s="1062"/>
      <c r="AM69" s="1060"/>
      <c r="AN69" s="1061"/>
      <c r="AO69" s="1061"/>
      <c r="AP69" s="1062"/>
      <c r="AQ69" s="1060"/>
      <c r="AR69" s="1061"/>
      <c r="AS69" s="1061"/>
      <c r="AT69" s="1061"/>
      <c r="AU69" s="1071"/>
      <c r="AV69" s="62"/>
    </row>
    <row r="70" spans="1:48" ht="2.25" customHeight="1">
      <c r="A70" s="989"/>
      <c r="B70" s="990"/>
      <c r="C70" s="990"/>
      <c r="D70" s="991"/>
      <c r="E70" s="1044"/>
      <c r="F70" s="990"/>
      <c r="G70" s="990"/>
      <c r="H70" s="990"/>
      <c r="I70" s="990"/>
      <c r="J70" s="991"/>
      <c r="K70" s="1044"/>
      <c r="L70" s="991"/>
      <c r="M70" s="1044"/>
      <c r="N70" s="991"/>
      <c r="O70" s="1044"/>
      <c r="P70" s="991"/>
      <c r="Q70" s="1044"/>
      <c r="R70" s="991"/>
      <c r="S70" s="1044"/>
      <c r="T70" s="991"/>
      <c r="U70" s="1063"/>
      <c r="V70" s="1064"/>
      <c r="W70" s="1064"/>
      <c r="X70" s="1064"/>
      <c r="Y70" s="1064"/>
      <c r="Z70" s="1064"/>
      <c r="AA70" s="1065"/>
      <c r="AB70" s="1063"/>
      <c r="AC70" s="1064"/>
      <c r="AD70" s="1065"/>
      <c r="AE70" s="1054"/>
      <c r="AF70" s="1055"/>
      <c r="AG70" s="1055"/>
      <c r="AH70" s="1055"/>
      <c r="AI70" s="1055"/>
      <c r="AJ70" s="1055"/>
      <c r="AK70" s="1055"/>
      <c r="AL70" s="1056"/>
      <c r="AM70" s="1054"/>
      <c r="AN70" s="1055"/>
      <c r="AO70" s="1055"/>
      <c r="AP70" s="1056"/>
      <c r="AQ70" s="1054"/>
      <c r="AR70" s="1055"/>
      <c r="AS70" s="1055"/>
      <c r="AT70" s="1055"/>
      <c r="AU70" s="1069"/>
      <c r="AV70" s="62"/>
    </row>
    <row r="71" spans="1:48" ht="14.25" customHeight="1">
      <c r="A71" s="992"/>
      <c r="B71" s="993"/>
      <c r="C71" s="993"/>
      <c r="D71" s="994"/>
      <c r="E71" s="1045"/>
      <c r="F71" s="993"/>
      <c r="G71" s="993"/>
      <c r="H71" s="993"/>
      <c r="I71" s="993"/>
      <c r="J71" s="994"/>
      <c r="K71" s="1045"/>
      <c r="L71" s="994"/>
      <c r="M71" s="1045"/>
      <c r="N71" s="994"/>
      <c r="O71" s="1045"/>
      <c r="P71" s="994"/>
      <c r="Q71" s="1045"/>
      <c r="R71" s="994"/>
      <c r="S71" s="1045"/>
      <c r="T71" s="994"/>
      <c r="U71" s="568"/>
      <c r="V71" s="568"/>
      <c r="W71" s="1072"/>
      <c r="X71" s="1073"/>
      <c r="Y71" s="1073"/>
      <c r="Z71" s="1074"/>
      <c r="AA71" s="569"/>
      <c r="AB71" s="568"/>
      <c r="AC71" s="565"/>
      <c r="AD71" s="569"/>
      <c r="AE71" s="1057"/>
      <c r="AF71" s="1058"/>
      <c r="AG71" s="1058"/>
      <c r="AH71" s="1058"/>
      <c r="AI71" s="1058"/>
      <c r="AJ71" s="1058"/>
      <c r="AK71" s="1058"/>
      <c r="AL71" s="1059"/>
      <c r="AM71" s="1057"/>
      <c r="AN71" s="1058"/>
      <c r="AO71" s="1058"/>
      <c r="AP71" s="1059"/>
      <c r="AQ71" s="1057"/>
      <c r="AR71" s="1058"/>
      <c r="AS71" s="1058"/>
      <c r="AT71" s="1058"/>
      <c r="AU71" s="1070"/>
      <c r="AV71" s="62"/>
    </row>
    <row r="72" spans="1:48" ht="2.25" customHeight="1">
      <c r="A72" s="995"/>
      <c r="B72" s="996"/>
      <c r="C72" s="996"/>
      <c r="D72" s="997"/>
      <c r="E72" s="1082"/>
      <c r="F72" s="996"/>
      <c r="G72" s="996"/>
      <c r="H72" s="996"/>
      <c r="I72" s="996"/>
      <c r="J72" s="997"/>
      <c r="K72" s="1082"/>
      <c r="L72" s="997"/>
      <c r="M72" s="1082"/>
      <c r="N72" s="997"/>
      <c r="O72" s="1082"/>
      <c r="P72" s="997"/>
      <c r="Q72" s="1082"/>
      <c r="R72" s="997"/>
      <c r="S72" s="1082"/>
      <c r="T72" s="997"/>
      <c r="U72" s="1075"/>
      <c r="V72" s="1076"/>
      <c r="W72" s="1076"/>
      <c r="X72" s="1076"/>
      <c r="Y72" s="1076"/>
      <c r="Z72" s="1076"/>
      <c r="AA72" s="1077"/>
      <c r="AB72" s="1075"/>
      <c r="AC72" s="1076"/>
      <c r="AD72" s="1077"/>
      <c r="AE72" s="1060"/>
      <c r="AF72" s="1061"/>
      <c r="AG72" s="1061"/>
      <c r="AH72" s="1061"/>
      <c r="AI72" s="1061"/>
      <c r="AJ72" s="1061"/>
      <c r="AK72" s="1061"/>
      <c r="AL72" s="1062"/>
      <c r="AM72" s="1060"/>
      <c r="AN72" s="1061"/>
      <c r="AO72" s="1061"/>
      <c r="AP72" s="1062"/>
      <c r="AQ72" s="1060"/>
      <c r="AR72" s="1061"/>
      <c r="AS72" s="1061"/>
      <c r="AT72" s="1061"/>
      <c r="AU72" s="1071"/>
      <c r="AV72" s="62"/>
    </row>
    <row r="73" spans="1:48" ht="2.25" customHeight="1">
      <c r="A73" s="989"/>
      <c r="B73" s="990"/>
      <c r="C73" s="990"/>
      <c r="D73" s="991"/>
      <c r="E73" s="1044"/>
      <c r="F73" s="990"/>
      <c r="G73" s="990"/>
      <c r="H73" s="990"/>
      <c r="I73" s="990"/>
      <c r="J73" s="991"/>
      <c r="K73" s="1044"/>
      <c r="L73" s="991"/>
      <c r="M73" s="1044"/>
      <c r="N73" s="991"/>
      <c r="O73" s="1044"/>
      <c r="P73" s="991"/>
      <c r="Q73" s="1044"/>
      <c r="R73" s="991"/>
      <c r="S73" s="1044"/>
      <c r="T73" s="991"/>
      <c r="U73" s="1063"/>
      <c r="V73" s="1064"/>
      <c r="W73" s="1064"/>
      <c r="X73" s="1064"/>
      <c r="Y73" s="1064"/>
      <c r="Z73" s="1064"/>
      <c r="AA73" s="1065"/>
      <c r="AB73" s="1063"/>
      <c r="AC73" s="1064"/>
      <c r="AD73" s="1065"/>
      <c r="AE73" s="1054"/>
      <c r="AF73" s="1055"/>
      <c r="AG73" s="1055"/>
      <c r="AH73" s="1055"/>
      <c r="AI73" s="1055"/>
      <c r="AJ73" s="1055"/>
      <c r="AK73" s="1055"/>
      <c r="AL73" s="1056"/>
      <c r="AM73" s="1054"/>
      <c r="AN73" s="1055"/>
      <c r="AO73" s="1055"/>
      <c r="AP73" s="1056"/>
      <c r="AQ73" s="1054"/>
      <c r="AR73" s="1055"/>
      <c r="AS73" s="1055"/>
      <c r="AT73" s="1055"/>
      <c r="AU73" s="1069"/>
      <c r="AV73" s="62"/>
    </row>
    <row r="74" spans="1:48" ht="14.25" customHeight="1">
      <c r="A74" s="992"/>
      <c r="B74" s="993"/>
      <c r="C74" s="993"/>
      <c r="D74" s="994"/>
      <c r="E74" s="1045"/>
      <c r="F74" s="993"/>
      <c r="G74" s="993"/>
      <c r="H74" s="993"/>
      <c r="I74" s="993"/>
      <c r="J74" s="994"/>
      <c r="K74" s="1045"/>
      <c r="L74" s="994"/>
      <c r="M74" s="1045"/>
      <c r="N74" s="994"/>
      <c r="O74" s="1045"/>
      <c r="P74" s="994"/>
      <c r="Q74" s="1045"/>
      <c r="R74" s="994"/>
      <c r="S74" s="1045"/>
      <c r="T74" s="994"/>
      <c r="U74" s="568"/>
      <c r="V74" s="568"/>
      <c r="W74" s="1072"/>
      <c r="X74" s="1073"/>
      <c r="Y74" s="1073"/>
      <c r="Z74" s="1074"/>
      <c r="AA74" s="569"/>
      <c r="AB74" s="568"/>
      <c r="AC74" s="565"/>
      <c r="AD74" s="569"/>
      <c r="AE74" s="1057"/>
      <c r="AF74" s="1058"/>
      <c r="AG74" s="1058"/>
      <c r="AH74" s="1058"/>
      <c r="AI74" s="1058"/>
      <c r="AJ74" s="1058"/>
      <c r="AK74" s="1058"/>
      <c r="AL74" s="1059"/>
      <c r="AM74" s="1057"/>
      <c r="AN74" s="1058"/>
      <c r="AO74" s="1058"/>
      <c r="AP74" s="1059"/>
      <c r="AQ74" s="1057"/>
      <c r="AR74" s="1058"/>
      <c r="AS74" s="1058"/>
      <c r="AT74" s="1058"/>
      <c r="AU74" s="1070"/>
      <c r="AV74" s="62"/>
    </row>
    <row r="75" spans="1:48" ht="2.25" customHeight="1">
      <c r="A75" s="995"/>
      <c r="B75" s="996"/>
      <c r="C75" s="996"/>
      <c r="D75" s="997"/>
      <c r="E75" s="1082"/>
      <c r="F75" s="996"/>
      <c r="G75" s="996"/>
      <c r="H75" s="996"/>
      <c r="I75" s="996"/>
      <c r="J75" s="997"/>
      <c r="K75" s="1082"/>
      <c r="L75" s="997"/>
      <c r="M75" s="1082"/>
      <c r="N75" s="997"/>
      <c r="O75" s="1082"/>
      <c r="P75" s="997"/>
      <c r="Q75" s="1082"/>
      <c r="R75" s="997"/>
      <c r="S75" s="1082"/>
      <c r="T75" s="997"/>
      <c r="U75" s="1075"/>
      <c r="V75" s="1076"/>
      <c r="W75" s="1076"/>
      <c r="X75" s="1076"/>
      <c r="Y75" s="1076"/>
      <c r="Z75" s="1076"/>
      <c r="AA75" s="1077"/>
      <c r="AB75" s="1075"/>
      <c r="AC75" s="1076"/>
      <c r="AD75" s="1077"/>
      <c r="AE75" s="1060"/>
      <c r="AF75" s="1061"/>
      <c r="AG75" s="1061"/>
      <c r="AH75" s="1061"/>
      <c r="AI75" s="1061"/>
      <c r="AJ75" s="1061"/>
      <c r="AK75" s="1061"/>
      <c r="AL75" s="1062"/>
      <c r="AM75" s="1060"/>
      <c r="AN75" s="1061"/>
      <c r="AO75" s="1061"/>
      <c r="AP75" s="1062"/>
      <c r="AQ75" s="1060"/>
      <c r="AR75" s="1061"/>
      <c r="AS75" s="1061"/>
      <c r="AT75" s="1061"/>
      <c r="AU75" s="1071"/>
      <c r="AV75" s="62"/>
    </row>
    <row r="76" spans="1:48" ht="2.25" customHeight="1">
      <c r="A76" s="989"/>
      <c r="B76" s="990"/>
      <c r="C76" s="990"/>
      <c r="D76" s="991"/>
      <c r="E76" s="1044"/>
      <c r="F76" s="990"/>
      <c r="G76" s="990"/>
      <c r="H76" s="990"/>
      <c r="I76" s="990"/>
      <c r="J76" s="991"/>
      <c r="K76" s="1044"/>
      <c r="L76" s="991"/>
      <c r="M76" s="1044"/>
      <c r="N76" s="991"/>
      <c r="O76" s="1044"/>
      <c r="P76" s="991"/>
      <c r="Q76" s="1044"/>
      <c r="R76" s="991"/>
      <c r="S76" s="1044"/>
      <c r="T76" s="991"/>
      <c r="U76" s="1063"/>
      <c r="V76" s="1064"/>
      <c r="W76" s="1064"/>
      <c r="X76" s="1064"/>
      <c r="Y76" s="1064"/>
      <c r="Z76" s="1064"/>
      <c r="AA76" s="1065"/>
      <c r="AB76" s="1063"/>
      <c r="AC76" s="1064"/>
      <c r="AD76" s="1065"/>
      <c r="AE76" s="1054"/>
      <c r="AF76" s="1055"/>
      <c r="AG76" s="1055"/>
      <c r="AH76" s="1055"/>
      <c r="AI76" s="1055"/>
      <c r="AJ76" s="1055"/>
      <c r="AK76" s="1055"/>
      <c r="AL76" s="1056"/>
      <c r="AM76" s="1054"/>
      <c r="AN76" s="1055"/>
      <c r="AO76" s="1055"/>
      <c r="AP76" s="1056"/>
      <c r="AQ76" s="1054"/>
      <c r="AR76" s="1055"/>
      <c r="AS76" s="1055"/>
      <c r="AT76" s="1055"/>
      <c r="AU76" s="1069"/>
      <c r="AV76" s="62"/>
    </row>
    <row r="77" spans="1:48" ht="14.25" customHeight="1">
      <c r="A77" s="992"/>
      <c r="B77" s="993"/>
      <c r="C77" s="993"/>
      <c r="D77" s="994"/>
      <c r="E77" s="1045"/>
      <c r="F77" s="993"/>
      <c r="G77" s="993"/>
      <c r="H77" s="993"/>
      <c r="I77" s="993"/>
      <c r="J77" s="994"/>
      <c r="K77" s="1045"/>
      <c r="L77" s="994"/>
      <c r="M77" s="1045"/>
      <c r="N77" s="994"/>
      <c r="O77" s="1045"/>
      <c r="P77" s="994"/>
      <c r="Q77" s="1045"/>
      <c r="R77" s="994"/>
      <c r="S77" s="1045"/>
      <c r="T77" s="994"/>
      <c r="U77" s="568"/>
      <c r="V77" s="568"/>
      <c r="W77" s="1072"/>
      <c r="X77" s="1073"/>
      <c r="Y77" s="1073"/>
      <c r="Z77" s="1074"/>
      <c r="AA77" s="569"/>
      <c r="AB77" s="568"/>
      <c r="AC77" s="565"/>
      <c r="AD77" s="569"/>
      <c r="AE77" s="1057"/>
      <c r="AF77" s="1058"/>
      <c r="AG77" s="1058"/>
      <c r="AH77" s="1058"/>
      <c r="AI77" s="1058"/>
      <c r="AJ77" s="1058"/>
      <c r="AK77" s="1058"/>
      <c r="AL77" s="1059"/>
      <c r="AM77" s="1057"/>
      <c r="AN77" s="1058"/>
      <c r="AO77" s="1058"/>
      <c r="AP77" s="1059"/>
      <c r="AQ77" s="1057"/>
      <c r="AR77" s="1058"/>
      <c r="AS77" s="1058"/>
      <c r="AT77" s="1058"/>
      <c r="AU77" s="1070"/>
      <c r="AV77" s="62"/>
    </row>
    <row r="78" spans="1:48" ht="2.25" customHeight="1">
      <c r="A78" s="995"/>
      <c r="B78" s="996"/>
      <c r="C78" s="996"/>
      <c r="D78" s="997"/>
      <c r="E78" s="1082"/>
      <c r="F78" s="996"/>
      <c r="G78" s="996"/>
      <c r="H78" s="996"/>
      <c r="I78" s="996"/>
      <c r="J78" s="997"/>
      <c r="K78" s="1082"/>
      <c r="L78" s="997"/>
      <c r="M78" s="1082"/>
      <c r="N78" s="997"/>
      <c r="O78" s="1082"/>
      <c r="P78" s="997"/>
      <c r="Q78" s="1082"/>
      <c r="R78" s="997"/>
      <c r="S78" s="1082"/>
      <c r="T78" s="997"/>
      <c r="U78" s="1075"/>
      <c r="V78" s="1076"/>
      <c r="W78" s="1076"/>
      <c r="X78" s="1076"/>
      <c r="Y78" s="1076"/>
      <c r="Z78" s="1076"/>
      <c r="AA78" s="1077"/>
      <c r="AB78" s="1075"/>
      <c r="AC78" s="1076"/>
      <c r="AD78" s="1077"/>
      <c r="AE78" s="1060"/>
      <c r="AF78" s="1061"/>
      <c r="AG78" s="1061"/>
      <c r="AH78" s="1061"/>
      <c r="AI78" s="1061"/>
      <c r="AJ78" s="1061"/>
      <c r="AK78" s="1061"/>
      <c r="AL78" s="1062"/>
      <c r="AM78" s="1060"/>
      <c r="AN78" s="1061"/>
      <c r="AO78" s="1061"/>
      <c r="AP78" s="1062"/>
      <c r="AQ78" s="1060"/>
      <c r="AR78" s="1061"/>
      <c r="AS78" s="1061"/>
      <c r="AT78" s="1061"/>
      <c r="AU78" s="1071"/>
      <c r="AV78" s="62"/>
    </row>
    <row r="79" spans="1:48" ht="2.25" customHeight="1">
      <c r="A79" s="989"/>
      <c r="B79" s="990"/>
      <c r="C79" s="990"/>
      <c r="D79" s="991"/>
      <c r="E79" s="1044"/>
      <c r="F79" s="990"/>
      <c r="G79" s="990"/>
      <c r="H79" s="990"/>
      <c r="I79" s="990"/>
      <c r="J79" s="991"/>
      <c r="K79" s="1044"/>
      <c r="L79" s="991"/>
      <c r="M79" s="1044"/>
      <c r="N79" s="991"/>
      <c r="O79" s="1044"/>
      <c r="P79" s="991"/>
      <c r="Q79" s="1044"/>
      <c r="R79" s="991"/>
      <c r="S79" s="1044"/>
      <c r="T79" s="991"/>
      <c r="U79" s="1063"/>
      <c r="V79" s="1064"/>
      <c r="W79" s="1064"/>
      <c r="X79" s="1064"/>
      <c r="Y79" s="1064"/>
      <c r="Z79" s="1064"/>
      <c r="AA79" s="1065"/>
      <c r="AB79" s="1063"/>
      <c r="AC79" s="1064"/>
      <c r="AD79" s="1065"/>
      <c r="AE79" s="1054"/>
      <c r="AF79" s="1055"/>
      <c r="AG79" s="1055"/>
      <c r="AH79" s="1055"/>
      <c r="AI79" s="1055"/>
      <c r="AJ79" s="1055"/>
      <c r="AK79" s="1055"/>
      <c r="AL79" s="1056"/>
      <c r="AM79" s="1054"/>
      <c r="AN79" s="1055"/>
      <c r="AO79" s="1055"/>
      <c r="AP79" s="1056"/>
      <c r="AQ79" s="1054"/>
      <c r="AR79" s="1055"/>
      <c r="AS79" s="1055"/>
      <c r="AT79" s="1055"/>
      <c r="AU79" s="1069"/>
      <c r="AV79" s="62"/>
    </row>
    <row r="80" spans="1:48" ht="14.25" customHeight="1">
      <c r="A80" s="992"/>
      <c r="B80" s="993"/>
      <c r="C80" s="993"/>
      <c r="D80" s="994"/>
      <c r="E80" s="1045"/>
      <c r="F80" s="993"/>
      <c r="G80" s="993"/>
      <c r="H80" s="993"/>
      <c r="I80" s="993"/>
      <c r="J80" s="994"/>
      <c r="K80" s="1045"/>
      <c r="L80" s="994"/>
      <c r="M80" s="1045"/>
      <c r="N80" s="994"/>
      <c r="O80" s="1045"/>
      <c r="P80" s="994"/>
      <c r="Q80" s="1045"/>
      <c r="R80" s="994"/>
      <c r="S80" s="1045"/>
      <c r="T80" s="994"/>
      <c r="U80" s="568"/>
      <c r="V80" s="568"/>
      <c r="W80" s="1072"/>
      <c r="X80" s="1073"/>
      <c r="Y80" s="1073"/>
      <c r="Z80" s="1074"/>
      <c r="AA80" s="569"/>
      <c r="AB80" s="568"/>
      <c r="AC80" s="565"/>
      <c r="AD80" s="569"/>
      <c r="AE80" s="1057"/>
      <c r="AF80" s="1058"/>
      <c r="AG80" s="1058"/>
      <c r="AH80" s="1058"/>
      <c r="AI80" s="1058"/>
      <c r="AJ80" s="1058"/>
      <c r="AK80" s="1058"/>
      <c r="AL80" s="1059"/>
      <c r="AM80" s="1057"/>
      <c r="AN80" s="1058"/>
      <c r="AO80" s="1058"/>
      <c r="AP80" s="1059"/>
      <c r="AQ80" s="1057"/>
      <c r="AR80" s="1058"/>
      <c r="AS80" s="1058"/>
      <c r="AT80" s="1058"/>
      <c r="AU80" s="1070"/>
      <c r="AV80" s="62"/>
    </row>
    <row r="81" spans="1:48" ht="2.25" customHeight="1">
      <c r="A81" s="995"/>
      <c r="B81" s="996"/>
      <c r="C81" s="996"/>
      <c r="D81" s="997"/>
      <c r="E81" s="1082"/>
      <c r="F81" s="996"/>
      <c r="G81" s="996"/>
      <c r="H81" s="996"/>
      <c r="I81" s="996"/>
      <c r="J81" s="997"/>
      <c r="K81" s="1082"/>
      <c r="L81" s="997"/>
      <c r="M81" s="1082"/>
      <c r="N81" s="997"/>
      <c r="O81" s="1082"/>
      <c r="P81" s="997"/>
      <c r="Q81" s="1082"/>
      <c r="R81" s="997"/>
      <c r="S81" s="1082"/>
      <c r="T81" s="997"/>
      <c r="U81" s="1075"/>
      <c r="V81" s="1076"/>
      <c r="W81" s="1076"/>
      <c r="X81" s="1076"/>
      <c r="Y81" s="1076"/>
      <c r="Z81" s="1076"/>
      <c r="AA81" s="1077"/>
      <c r="AB81" s="1075"/>
      <c r="AC81" s="1076"/>
      <c r="AD81" s="1077"/>
      <c r="AE81" s="1060"/>
      <c r="AF81" s="1061"/>
      <c r="AG81" s="1061"/>
      <c r="AH81" s="1061"/>
      <c r="AI81" s="1061"/>
      <c r="AJ81" s="1061"/>
      <c r="AK81" s="1061"/>
      <c r="AL81" s="1062"/>
      <c r="AM81" s="1060"/>
      <c r="AN81" s="1061"/>
      <c r="AO81" s="1061"/>
      <c r="AP81" s="1062"/>
      <c r="AQ81" s="1060"/>
      <c r="AR81" s="1061"/>
      <c r="AS81" s="1061"/>
      <c r="AT81" s="1061"/>
      <c r="AU81" s="1071"/>
      <c r="AV81" s="62"/>
    </row>
    <row r="82" spans="1:48" ht="2.25" customHeight="1">
      <c r="A82" s="989"/>
      <c r="B82" s="990"/>
      <c r="C82" s="990"/>
      <c r="D82" s="991"/>
      <c r="E82" s="1044"/>
      <c r="F82" s="990"/>
      <c r="G82" s="990"/>
      <c r="H82" s="990"/>
      <c r="I82" s="990"/>
      <c r="J82" s="991"/>
      <c r="K82" s="1044"/>
      <c r="L82" s="991"/>
      <c r="M82" s="1044"/>
      <c r="N82" s="991"/>
      <c r="O82" s="1044"/>
      <c r="P82" s="991"/>
      <c r="Q82" s="1044"/>
      <c r="R82" s="991"/>
      <c r="S82" s="1044"/>
      <c r="T82" s="991"/>
      <c r="U82" s="1063"/>
      <c r="V82" s="1064"/>
      <c r="W82" s="1064"/>
      <c r="X82" s="1064"/>
      <c r="Y82" s="1064"/>
      <c r="Z82" s="1064"/>
      <c r="AA82" s="1065"/>
      <c r="AB82" s="1063"/>
      <c r="AC82" s="1064"/>
      <c r="AD82" s="1065"/>
      <c r="AE82" s="1054"/>
      <c r="AF82" s="1055"/>
      <c r="AG82" s="1055"/>
      <c r="AH82" s="1055"/>
      <c r="AI82" s="1055"/>
      <c r="AJ82" s="1055"/>
      <c r="AK82" s="1055"/>
      <c r="AL82" s="1056"/>
      <c r="AM82" s="1054"/>
      <c r="AN82" s="1055"/>
      <c r="AO82" s="1055"/>
      <c r="AP82" s="1056"/>
      <c r="AQ82" s="1054"/>
      <c r="AR82" s="1055"/>
      <c r="AS82" s="1055"/>
      <c r="AT82" s="1055"/>
      <c r="AU82" s="1069"/>
      <c r="AV82" s="62"/>
    </row>
    <row r="83" spans="1:48" ht="14.25" customHeight="1">
      <c r="A83" s="992"/>
      <c r="B83" s="993"/>
      <c r="C83" s="993"/>
      <c r="D83" s="994"/>
      <c r="E83" s="1045"/>
      <c r="F83" s="993"/>
      <c r="G83" s="993"/>
      <c r="H83" s="993"/>
      <c r="I83" s="993"/>
      <c r="J83" s="994"/>
      <c r="K83" s="1045"/>
      <c r="L83" s="994"/>
      <c r="M83" s="1045"/>
      <c r="N83" s="994"/>
      <c r="O83" s="1045"/>
      <c r="P83" s="994"/>
      <c r="Q83" s="1045"/>
      <c r="R83" s="994"/>
      <c r="S83" s="1045"/>
      <c r="T83" s="994"/>
      <c r="U83" s="568"/>
      <c r="V83" s="568"/>
      <c r="W83" s="1072"/>
      <c r="X83" s="1073"/>
      <c r="Y83" s="1073"/>
      <c r="Z83" s="1074"/>
      <c r="AA83" s="569"/>
      <c r="AB83" s="568"/>
      <c r="AC83" s="565"/>
      <c r="AD83" s="569"/>
      <c r="AE83" s="1057"/>
      <c r="AF83" s="1058"/>
      <c r="AG83" s="1058"/>
      <c r="AH83" s="1058"/>
      <c r="AI83" s="1058"/>
      <c r="AJ83" s="1058"/>
      <c r="AK83" s="1058"/>
      <c r="AL83" s="1059"/>
      <c r="AM83" s="1057"/>
      <c r="AN83" s="1058"/>
      <c r="AO83" s="1058"/>
      <c r="AP83" s="1059"/>
      <c r="AQ83" s="1057"/>
      <c r="AR83" s="1058"/>
      <c r="AS83" s="1058"/>
      <c r="AT83" s="1058"/>
      <c r="AU83" s="1070"/>
      <c r="AV83" s="62"/>
    </row>
    <row r="84" spans="1:48" ht="2.25" customHeight="1">
      <c r="A84" s="995"/>
      <c r="B84" s="996"/>
      <c r="C84" s="996"/>
      <c r="D84" s="997"/>
      <c r="E84" s="1082"/>
      <c r="F84" s="996"/>
      <c r="G84" s="996"/>
      <c r="H84" s="996"/>
      <c r="I84" s="996"/>
      <c r="J84" s="997"/>
      <c r="K84" s="1082"/>
      <c r="L84" s="997"/>
      <c r="M84" s="1082"/>
      <c r="N84" s="997"/>
      <c r="O84" s="1082"/>
      <c r="P84" s="997"/>
      <c r="Q84" s="1082"/>
      <c r="R84" s="997"/>
      <c r="S84" s="1082"/>
      <c r="T84" s="997"/>
      <c r="U84" s="1075"/>
      <c r="V84" s="1076"/>
      <c r="W84" s="1076"/>
      <c r="X84" s="1076"/>
      <c r="Y84" s="1076"/>
      <c r="Z84" s="1076"/>
      <c r="AA84" s="1077"/>
      <c r="AB84" s="1075"/>
      <c r="AC84" s="1076"/>
      <c r="AD84" s="1077"/>
      <c r="AE84" s="1060"/>
      <c r="AF84" s="1061"/>
      <c r="AG84" s="1061"/>
      <c r="AH84" s="1061"/>
      <c r="AI84" s="1061"/>
      <c r="AJ84" s="1061"/>
      <c r="AK84" s="1061"/>
      <c r="AL84" s="1062"/>
      <c r="AM84" s="1060"/>
      <c r="AN84" s="1061"/>
      <c r="AO84" s="1061"/>
      <c r="AP84" s="1062"/>
      <c r="AQ84" s="1060"/>
      <c r="AR84" s="1061"/>
      <c r="AS84" s="1061"/>
      <c r="AT84" s="1061"/>
      <c r="AU84" s="1071"/>
      <c r="AV84" s="62"/>
    </row>
    <row r="85" spans="1:48" ht="2.25" customHeight="1">
      <c r="A85" s="989"/>
      <c r="B85" s="990"/>
      <c r="C85" s="990"/>
      <c r="D85" s="991"/>
      <c r="E85" s="1044"/>
      <c r="F85" s="990"/>
      <c r="G85" s="990"/>
      <c r="H85" s="990"/>
      <c r="I85" s="990"/>
      <c r="J85" s="991"/>
      <c r="K85" s="1044"/>
      <c r="L85" s="991"/>
      <c r="M85" s="1044"/>
      <c r="N85" s="991"/>
      <c r="O85" s="1044"/>
      <c r="P85" s="991"/>
      <c r="Q85" s="1044"/>
      <c r="R85" s="991"/>
      <c r="S85" s="1044"/>
      <c r="T85" s="991"/>
      <c r="U85" s="1063"/>
      <c r="V85" s="1064"/>
      <c r="W85" s="1064"/>
      <c r="X85" s="1064"/>
      <c r="Y85" s="1064"/>
      <c r="Z85" s="1064"/>
      <c r="AA85" s="1065"/>
      <c r="AB85" s="1063"/>
      <c r="AC85" s="1064"/>
      <c r="AD85" s="1065"/>
      <c r="AE85" s="1054"/>
      <c r="AF85" s="1055"/>
      <c r="AG85" s="1055"/>
      <c r="AH85" s="1055"/>
      <c r="AI85" s="1055"/>
      <c r="AJ85" s="1055"/>
      <c r="AK85" s="1055"/>
      <c r="AL85" s="1056"/>
      <c r="AM85" s="1054"/>
      <c r="AN85" s="1055"/>
      <c r="AO85" s="1055"/>
      <c r="AP85" s="1056"/>
      <c r="AQ85" s="1054"/>
      <c r="AR85" s="1055"/>
      <c r="AS85" s="1055"/>
      <c r="AT85" s="1055"/>
      <c r="AU85" s="1069"/>
      <c r="AV85" s="62"/>
    </row>
    <row r="86" spans="1:48" ht="14.25" customHeight="1">
      <c r="A86" s="992"/>
      <c r="B86" s="993"/>
      <c r="C86" s="993"/>
      <c r="D86" s="994"/>
      <c r="E86" s="1045"/>
      <c r="F86" s="993"/>
      <c r="G86" s="993"/>
      <c r="H86" s="993"/>
      <c r="I86" s="993"/>
      <c r="J86" s="994"/>
      <c r="K86" s="1045"/>
      <c r="L86" s="994"/>
      <c r="M86" s="1045"/>
      <c r="N86" s="994"/>
      <c r="O86" s="1045"/>
      <c r="P86" s="994"/>
      <c r="Q86" s="1045"/>
      <c r="R86" s="994"/>
      <c r="S86" s="1045"/>
      <c r="T86" s="994"/>
      <c r="U86" s="568"/>
      <c r="V86" s="568"/>
      <c r="W86" s="1072"/>
      <c r="X86" s="1073"/>
      <c r="Y86" s="1073"/>
      <c r="Z86" s="1074"/>
      <c r="AA86" s="569"/>
      <c r="AB86" s="568"/>
      <c r="AC86" s="565"/>
      <c r="AD86" s="569"/>
      <c r="AE86" s="1057"/>
      <c r="AF86" s="1058"/>
      <c r="AG86" s="1058"/>
      <c r="AH86" s="1058"/>
      <c r="AI86" s="1058"/>
      <c r="AJ86" s="1058"/>
      <c r="AK86" s="1058"/>
      <c r="AL86" s="1059"/>
      <c r="AM86" s="1057"/>
      <c r="AN86" s="1058"/>
      <c r="AO86" s="1058"/>
      <c r="AP86" s="1059"/>
      <c r="AQ86" s="1057"/>
      <c r="AR86" s="1058"/>
      <c r="AS86" s="1058"/>
      <c r="AT86" s="1058"/>
      <c r="AU86" s="1070"/>
      <c r="AV86" s="62"/>
    </row>
    <row r="87" spans="1:48" ht="2.25" customHeight="1">
      <c r="A87" s="995"/>
      <c r="B87" s="996"/>
      <c r="C87" s="996"/>
      <c r="D87" s="997"/>
      <c r="E87" s="1082"/>
      <c r="F87" s="996"/>
      <c r="G87" s="996"/>
      <c r="H87" s="996"/>
      <c r="I87" s="996"/>
      <c r="J87" s="997"/>
      <c r="K87" s="1082"/>
      <c r="L87" s="997"/>
      <c r="M87" s="1082"/>
      <c r="N87" s="997"/>
      <c r="O87" s="1082"/>
      <c r="P87" s="997"/>
      <c r="Q87" s="1082"/>
      <c r="R87" s="997"/>
      <c r="S87" s="1082"/>
      <c r="T87" s="997"/>
      <c r="U87" s="1075"/>
      <c r="V87" s="1076"/>
      <c r="W87" s="1076"/>
      <c r="X87" s="1076"/>
      <c r="Y87" s="1076"/>
      <c r="Z87" s="1076"/>
      <c r="AA87" s="1077"/>
      <c r="AB87" s="1075"/>
      <c r="AC87" s="1076"/>
      <c r="AD87" s="1077"/>
      <c r="AE87" s="1060"/>
      <c r="AF87" s="1061"/>
      <c r="AG87" s="1061"/>
      <c r="AH87" s="1061"/>
      <c r="AI87" s="1061"/>
      <c r="AJ87" s="1061"/>
      <c r="AK87" s="1061"/>
      <c r="AL87" s="1062"/>
      <c r="AM87" s="1060"/>
      <c r="AN87" s="1061"/>
      <c r="AO87" s="1061"/>
      <c r="AP87" s="1062"/>
      <c r="AQ87" s="1060"/>
      <c r="AR87" s="1061"/>
      <c r="AS87" s="1061"/>
      <c r="AT87" s="1061"/>
      <c r="AU87" s="1071"/>
      <c r="AV87" s="62"/>
    </row>
    <row r="88" spans="1:48" ht="2.25" customHeight="1">
      <c r="A88" s="989"/>
      <c r="B88" s="990"/>
      <c r="C88" s="990"/>
      <c r="D88" s="991"/>
      <c r="E88" s="1044"/>
      <c r="F88" s="990"/>
      <c r="G88" s="990"/>
      <c r="H88" s="990"/>
      <c r="I88" s="990"/>
      <c r="J88" s="991"/>
      <c r="K88" s="1044"/>
      <c r="L88" s="991"/>
      <c r="M88" s="1044"/>
      <c r="N88" s="991"/>
      <c r="O88" s="1044"/>
      <c r="P88" s="991"/>
      <c r="Q88" s="1044"/>
      <c r="R88" s="991"/>
      <c r="S88" s="1044"/>
      <c r="T88" s="991"/>
      <c r="U88" s="1063"/>
      <c r="V88" s="1064"/>
      <c r="W88" s="1064"/>
      <c r="X88" s="1064"/>
      <c r="Y88" s="1064"/>
      <c r="Z88" s="1064"/>
      <c r="AA88" s="1065"/>
      <c r="AB88" s="1063"/>
      <c r="AC88" s="1064"/>
      <c r="AD88" s="1065"/>
      <c r="AE88" s="1054"/>
      <c r="AF88" s="1055"/>
      <c r="AG88" s="1055"/>
      <c r="AH88" s="1055"/>
      <c r="AI88" s="1055"/>
      <c r="AJ88" s="1055"/>
      <c r="AK88" s="1055"/>
      <c r="AL88" s="1056"/>
      <c r="AM88" s="1054"/>
      <c r="AN88" s="1055"/>
      <c r="AO88" s="1055"/>
      <c r="AP88" s="1056"/>
      <c r="AQ88" s="1054"/>
      <c r="AR88" s="1055"/>
      <c r="AS88" s="1055"/>
      <c r="AT88" s="1055"/>
      <c r="AU88" s="1069"/>
      <c r="AV88" s="62"/>
    </row>
    <row r="89" spans="1:48" ht="14.25" customHeight="1">
      <c r="A89" s="992"/>
      <c r="B89" s="993"/>
      <c r="C89" s="993"/>
      <c r="D89" s="994"/>
      <c r="E89" s="1045"/>
      <c r="F89" s="993"/>
      <c r="G89" s="993"/>
      <c r="H89" s="993"/>
      <c r="I89" s="993"/>
      <c r="J89" s="994"/>
      <c r="K89" s="1045"/>
      <c r="L89" s="994"/>
      <c r="M89" s="1045"/>
      <c r="N89" s="994"/>
      <c r="O89" s="1045"/>
      <c r="P89" s="994"/>
      <c r="Q89" s="1045"/>
      <c r="R89" s="994"/>
      <c r="S89" s="1045"/>
      <c r="T89" s="994"/>
      <c r="U89" s="568"/>
      <c r="V89" s="568"/>
      <c r="W89" s="1072"/>
      <c r="X89" s="1073"/>
      <c r="Y89" s="1073"/>
      <c r="Z89" s="1074"/>
      <c r="AA89" s="569"/>
      <c r="AB89" s="568"/>
      <c r="AC89" s="565"/>
      <c r="AD89" s="569"/>
      <c r="AE89" s="1057"/>
      <c r="AF89" s="1058"/>
      <c r="AG89" s="1058"/>
      <c r="AH89" s="1058"/>
      <c r="AI89" s="1058"/>
      <c r="AJ89" s="1058"/>
      <c r="AK89" s="1058"/>
      <c r="AL89" s="1059"/>
      <c r="AM89" s="1057"/>
      <c r="AN89" s="1058"/>
      <c r="AO89" s="1058"/>
      <c r="AP89" s="1059"/>
      <c r="AQ89" s="1057"/>
      <c r="AR89" s="1058"/>
      <c r="AS89" s="1058"/>
      <c r="AT89" s="1058"/>
      <c r="AU89" s="1070"/>
      <c r="AV89" s="62"/>
    </row>
    <row r="90" spans="1:48" ht="2.25" customHeight="1">
      <c r="A90" s="995"/>
      <c r="B90" s="996"/>
      <c r="C90" s="996"/>
      <c r="D90" s="997"/>
      <c r="E90" s="1082"/>
      <c r="F90" s="996"/>
      <c r="G90" s="996"/>
      <c r="H90" s="996"/>
      <c r="I90" s="996"/>
      <c r="J90" s="997"/>
      <c r="K90" s="1082"/>
      <c r="L90" s="997"/>
      <c r="M90" s="1082"/>
      <c r="N90" s="997"/>
      <c r="O90" s="1082"/>
      <c r="P90" s="997"/>
      <c r="Q90" s="1082"/>
      <c r="R90" s="997"/>
      <c r="S90" s="1082"/>
      <c r="T90" s="997"/>
      <c r="U90" s="1075"/>
      <c r="V90" s="1076"/>
      <c r="W90" s="1076"/>
      <c r="X90" s="1076"/>
      <c r="Y90" s="1076"/>
      <c r="Z90" s="1076"/>
      <c r="AA90" s="1077"/>
      <c r="AB90" s="1075"/>
      <c r="AC90" s="1076"/>
      <c r="AD90" s="1077"/>
      <c r="AE90" s="1060"/>
      <c r="AF90" s="1061"/>
      <c r="AG90" s="1061"/>
      <c r="AH90" s="1061"/>
      <c r="AI90" s="1061"/>
      <c r="AJ90" s="1061"/>
      <c r="AK90" s="1061"/>
      <c r="AL90" s="1062"/>
      <c r="AM90" s="1060"/>
      <c r="AN90" s="1061"/>
      <c r="AO90" s="1061"/>
      <c r="AP90" s="1062"/>
      <c r="AQ90" s="1060"/>
      <c r="AR90" s="1061"/>
      <c r="AS90" s="1061"/>
      <c r="AT90" s="1061"/>
      <c r="AU90" s="1071"/>
      <c r="AV90" s="62"/>
    </row>
    <row r="91" spans="1:48" ht="2.25" customHeight="1">
      <c r="A91" s="989"/>
      <c r="B91" s="990"/>
      <c r="C91" s="990"/>
      <c r="D91" s="991"/>
      <c r="E91" s="1044"/>
      <c r="F91" s="990"/>
      <c r="G91" s="990"/>
      <c r="H91" s="990"/>
      <c r="I91" s="990"/>
      <c r="J91" s="991"/>
      <c r="K91" s="1044"/>
      <c r="L91" s="991"/>
      <c r="M91" s="1044"/>
      <c r="N91" s="991"/>
      <c r="O91" s="1044"/>
      <c r="P91" s="991"/>
      <c r="Q91" s="1044"/>
      <c r="R91" s="991"/>
      <c r="S91" s="1044"/>
      <c r="T91" s="991"/>
      <c r="U91" s="1063"/>
      <c r="V91" s="1064"/>
      <c r="W91" s="1064"/>
      <c r="X91" s="1064"/>
      <c r="Y91" s="1064"/>
      <c r="Z91" s="1064"/>
      <c r="AA91" s="1065"/>
      <c r="AB91" s="1063"/>
      <c r="AC91" s="1064"/>
      <c r="AD91" s="1065"/>
      <c r="AE91" s="1054"/>
      <c r="AF91" s="1055"/>
      <c r="AG91" s="1055"/>
      <c r="AH91" s="1055"/>
      <c r="AI91" s="1055"/>
      <c r="AJ91" s="1055"/>
      <c r="AK91" s="1055"/>
      <c r="AL91" s="1056"/>
      <c r="AM91" s="1054"/>
      <c r="AN91" s="1055"/>
      <c r="AO91" s="1055"/>
      <c r="AP91" s="1056"/>
      <c r="AQ91" s="1054"/>
      <c r="AR91" s="1055"/>
      <c r="AS91" s="1055"/>
      <c r="AT91" s="1055"/>
      <c r="AU91" s="1069"/>
      <c r="AV91" s="62"/>
    </row>
    <row r="92" spans="1:48" ht="14.25" customHeight="1">
      <c r="A92" s="992"/>
      <c r="B92" s="993"/>
      <c r="C92" s="993"/>
      <c r="D92" s="994"/>
      <c r="E92" s="1045"/>
      <c r="F92" s="993"/>
      <c r="G92" s="993"/>
      <c r="H92" s="993"/>
      <c r="I92" s="993"/>
      <c r="J92" s="994"/>
      <c r="K92" s="1045"/>
      <c r="L92" s="994"/>
      <c r="M92" s="1045"/>
      <c r="N92" s="994"/>
      <c r="O92" s="1045"/>
      <c r="P92" s="994"/>
      <c r="Q92" s="1045"/>
      <c r="R92" s="994"/>
      <c r="S92" s="1045"/>
      <c r="T92" s="994"/>
      <c r="U92" s="568"/>
      <c r="V92" s="568"/>
      <c r="W92" s="1072"/>
      <c r="X92" s="1073"/>
      <c r="Y92" s="1073"/>
      <c r="Z92" s="1074"/>
      <c r="AA92" s="569"/>
      <c r="AB92" s="568"/>
      <c r="AC92" s="565"/>
      <c r="AD92" s="569"/>
      <c r="AE92" s="1057"/>
      <c r="AF92" s="1058"/>
      <c r="AG92" s="1058"/>
      <c r="AH92" s="1058"/>
      <c r="AI92" s="1058"/>
      <c r="AJ92" s="1058"/>
      <c r="AK92" s="1058"/>
      <c r="AL92" s="1059"/>
      <c r="AM92" s="1057"/>
      <c r="AN92" s="1058"/>
      <c r="AO92" s="1058"/>
      <c r="AP92" s="1059"/>
      <c r="AQ92" s="1057"/>
      <c r="AR92" s="1058"/>
      <c r="AS92" s="1058"/>
      <c r="AT92" s="1058"/>
      <c r="AU92" s="1070"/>
      <c r="AV92" s="62"/>
    </row>
    <row r="93" spans="1:48" ht="2.25" customHeight="1">
      <c r="A93" s="995"/>
      <c r="B93" s="996"/>
      <c r="C93" s="996"/>
      <c r="D93" s="997"/>
      <c r="E93" s="1082"/>
      <c r="F93" s="996"/>
      <c r="G93" s="996"/>
      <c r="H93" s="996"/>
      <c r="I93" s="996"/>
      <c r="J93" s="997"/>
      <c r="K93" s="1082"/>
      <c r="L93" s="997"/>
      <c r="M93" s="1082"/>
      <c r="N93" s="997"/>
      <c r="O93" s="1082"/>
      <c r="P93" s="997"/>
      <c r="Q93" s="1082"/>
      <c r="R93" s="997"/>
      <c r="S93" s="1082"/>
      <c r="T93" s="997"/>
      <c r="U93" s="1075"/>
      <c r="V93" s="1076"/>
      <c r="W93" s="1076"/>
      <c r="X93" s="1076"/>
      <c r="Y93" s="1076"/>
      <c r="Z93" s="1076"/>
      <c r="AA93" s="1077"/>
      <c r="AB93" s="1075"/>
      <c r="AC93" s="1076"/>
      <c r="AD93" s="1077"/>
      <c r="AE93" s="1060"/>
      <c r="AF93" s="1061"/>
      <c r="AG93" s="1061"/>
      <c r="AH93" s="1061"/>
      <c r="AI93" s="1061"/>
      <c r="AJ93" s="1061"/>
      <c r="AK93" s="1061"/>
      <c r="AL93" s="1062"/>
      <c r="AM93" s="1060"/>
      <c r="AN93" s="1061"/>
      <c r="AO93" s="1061"/>
      <c r="AP93" s="1062"/>
      <c r="AQ93" s="1060"/>
      <c r="AR93" s="1061"/>
      <c r="AS93" s="1061"/>
      <c r="AT93" s="1061"/>
      <c r="AU93" s="1071"/>
      <c r="AV93" s="62"/>
    </row>
    <row r="94" spans="1:48" ht="2.25" customHeight="1">
      <c r="A94" s="989"/>
      <c r="B94" s="990"/>
      <c r="C94" s="990"/>
      <c r="D94" s="991"/>
      <c r="E94" s="1044"/>
      <c r="F94" s="990"/>
      <c r="G94" s="990"/>
      <c r="H94" s="990"/>
      <c r="I94" s="990"/>
      <c r="J94" s="991"/>
      <c r="K94" s="1044"/>
      <c r="L94" s="991"/>
      <c r="M94" s="1044"/>
      <c r="N94" s="991"/>
      <c r="O94" s="1044"/>
      <c r="P94" s="991"/>
      <c r="Q94" s="1044"/>
      <c r="R94" s="991"/>
      <c r="S94" s="1044"/>
      <c r="T94" s="991"/>
      <c r="U94" s="1063"/>
      <c r="V94" s="1064"/>
      <c r="W94" s="1064"/>
      <c r="X94" s="1064"/>
      <c r="Y94" s="1064"/>
      <c r="Z94" s="1064"/>
      <c r="AA94" s="1065"/>
      <c r="AB94" s="1063"/>
      <c r="AC94" s="1064"/>
      <c r="AD94" s="1065"/>
      <c r="AE94" s="1054"/>
      <c r="AF94" s="1055"/>
      <c r="AG94" s="1055"/>
      <c r="AH94" s="1055"/>
      <c r="AI94" s="1055"/>
      <c r="AJ94" s="1055"/>
      <c r="AK94" s="1055"/>
      <c r="AL94" s="1056"/>
      <c r="AM94" s="1054"/>
      <c r="AN94" s="1055"/>
      <c r="AO94" s="1055"/>
      <c r="AP94" s="1056"/>
      <c r="AQ94" s="1054"/>
      <c r="AR94" s="1055"/>
      <c r="AS94" s="1055"/>
      <c r="AT94" s="1055"/>
      <c r="AU94" s="1069"/>
      <c r="AV94" s="62"/>
    </row>
    <row r="95" spans="1:48" ht="14.25" customHeight="1">
      <c r="A95" s="992"/>
      <c r="B95" s="993"/>
      <c r="C95" s="993"/>
      <c r="D95" s="994"/>
      <c r="E95" s="1045"/>
      <c r="F95" s="993"/>
      <c r="G95" s="993"/>
      <c r="H95" s="993"/>
      <c r="I95" s="993"/>
      <c r="J95" s="994"/>
      <c r="K95" s="1045"/>
      <c r="L95" s="994"/>
      <c r="M95" s="1045"/>
      <c r="N95" s="994"/>
      <c r="O95" s="1045"/>
      <c r="P95" s="994"/>
      <c r="Q95" s="1045"/>
      <c r="R95" s="994"/>
      <c r="S95" s="1045"/>
      <c r="T95" s="994"/>
      <c r="U95" s="568"/>
      <c r="V95" s="568"/>
      <c r="W95" s="1072"/>
      <c r="X95" s="1073"/>
      <c r="Y95" s="1073"/>
      <c r="Z95" s="1074"/>
      <c r="AA95" s="569"/>
      <c r="AB95" s="568"/>
      <c r="AC95" s="565"/>
      <c r="AD95" s="569"/>
      <c r="AE95" s="1057"/>
      <c r="AF95" s="1058"/>
      <c r="AG95" s="1058"/>
      <c r="AH95" s="1058"/>
      <c r="AI95" s="1058"/>
      <c r="AJ95" s="1058"/>
      <c r="AK95" s="1058"/>
      <c r="AL95" s="1059"/>
      <c r="AM95" s="1057"/>
      <c r="AN95" s="1058"/>
      <c r="AO95" s="1058"/>
      <c r="AP95" s="1059"/>
      <c r="AQ95" s="1057"/>
      <c r="AR95" s="1058"/>
      <c r="AS95" s="1058"/>
      <c r="AT95" s="1058"/>
      <c r="AU95" s="1070"/>
      <c r="AV95" s="62"/>
    </row>
    <row r="96" spans="1:48" ht="2.25" customHeight="1">
      <c r="A96" s="995"/>
      <c r="B96" s="996"/>
      <c r="C96" s="996"/>
      <c r="D96" s="997"/>
      <c r="E96" s="1082"/>
      <c r="F96" s="996"/>
      <c r="G96" s="996"/>
      <c r="H96" s="996"/>
      <c r="I96" s="996"/>
      <c r="J96" s="997"/>
      <c r="K96" s="1082"/>
      <c r="L96" s="997"/>
      <c r="M96" s="1082"/>
      <c r="N96" s="997"/>
      <c r="O96" s="1082"/>
      <c r="P96" s="997"/>
      <c r="Q96" s="1082"/>
      <c r="R96" s="997"/>
      <c r="S96" s="1082"/>
      <c r="T96" s="997"/>
      <c r="U96" s="1075"/>
      <c r="V96" s="1076"/>
      <c r="W96" s="1076"/>
      <c r="X96" s="1076"/>
      <c r="Y96" s="1076"/>
      <c r="Z96" s="1076"/>
      <c r="AA96" s="1077"/>
      <c r="AB96" s="1075"/>
      <c r="AC96" s="1076"/>
      <c r="AD96" s="1077"/>
      <c r="AE96" s="1060"/>
      <c r="AF96" s="1061"/>
      <c r="AG96" s="1061"/>
      <c r="AH96" s="1061"/>
      <c r="AI96" s="1061"/>
      <c r="AJ96" s="1061"/>
      <c r="AK96" s="1061"/>
      <c r="AL96" s="1062"/>
      <c r="AM96" s="1060"/>
      <c r="AN96" s="1061"/>
      <c r="AO96" s="1061"/>
      <c r="AP96" s="1062"/>
      <c r="AQ96" s="1060"/>
      <c r="AR96" s="1061"/>
      <c r="AS96" s="1061"/>
      <c r="AT96" s="1061"/>
      <c r="AU96" s="1071"/>
      <c r="AV96" s="62"/>
    </row>
    <row r="97" spans="1:48" ht="2.25" customHeight="1">
      <c r="A97" s="989"/>
      <c r="B97" s="990"/>
      <c r="C97" s="990"/>
      <c r="D97" s="991"/>
      <c r="E97" s="1044"/>
      <c r="F97" s="990"/>
      <c r="G97" s="990"/>
      <c r="H97" s="990"/>
      <c r="I97" s="990"/>
      <c r="J97" s="991"/>
      <c r="K97" s="1044"/>
      <c r="L97" s="991"/>
      <c r="M97" s="1044"/>
      <c r="N97" s="991"/>
      <c r="O97" s="1044"/>
      <c r="P97" s="991"/>
      <c r="Q97" s="1044"/>
      <c r="R97" s="991"/>
      <c r="S97" s="1044"/>
      <c r="T97" s="991"/>
      <c r="U97" s="1063"/>
      <c r="V97" s="1064"/>
      <c r="W97" s="1064"/>
      <c r="X97" s="1064"/>
      <c r="Y97" s="1064"/>
      <c r="Z97" s="1064"/>
      <c r="AA97" s="1065"/>
      <c r="AB97" s="1063"/>
      <c r="AC97" s="1064"/>
      <c r="AD97" s="1065"/>
      <c r="AE97" s="1054"/>
      <c r="AF97" s="1055"/>
      <c r="AG97" s="1055"/>
      <c r="AH97" s="1055"/>
      <c r="AI97" s="1055"/>
      <c r="AJ97" s="1055"/>
      <c r="AK97" s="1055"/>
      <c r="AL97" s="1056"/>
      <c r="AM97" s="1054"/>
      <c r="AN97" s="1055"/>
      <c r="AO97" s="1055"/>
      <c r="AP97" s="1056"/>
      <c r="AQ97" s="1054"/>
      <c r="AR97" s="1055"/>
      <c r="AS97" s="1055"/>
      <c r="AT97" s="1055"/>
      <c r="AU97" s="1069"/>
      <c r="AV97" s="62"/>
    </row>
    <row r="98" spans="1:48" ht="14.25" customHeight="1">
      <c r="A98" s="992"/>
      <c r="B98" s="993"/>
      <c r="C98" s="993"/>
      <c r="D98" s="994"/>
      <c r="E98" s="1045"/>
      <c r="F98" s="993"/>
      <c r="G98" s="993"/>
      <c r="H98" s="993"/>
      <c r="I98" s="993"/>
      <c r="J98" s="994"/>
      <c r="K98" s="1045"/>
      <c r="L98" s="994"/>
      <c r="M98" s="1045"/>
      <c r="N98" s="994"/>
      <c r="O98" s="1045"/>
      <c r="P98" s="994"/>
      <c r="Q98" s="1045"/>
      <c r="R98" s="994"/>
      <c r="S98" s="1045"/>
      <c r="T98" s="994"/>
      <c r="U98" s="568"/>
      <c r="V98" s="568"/>
      <c r="W98" s="1072"/>
      <c r="X98" s="1073"/>
      <c r="Y98" s="1073"/>
      <c r="Z98" s="1074"/>
      <c r="AA98" s="569"/>
      <c r="AB98" s="568"/>
      <c r="AC98" s="565"/>
      <c r="AD98" s="569"/>
      <c r="AE98" s="1057"/>
      <c r="AF98" s="1058"/>
      <c r="AG98" s="1058"/>
      <c r="AH98" s="1058"/>
      <c r="AI98" s="1058"/>
      <c r="AJ98" s="1058"/>
      <c r="AK98" s="1058"/>
      <c r="AL98" s="1059"/>
      <c r="AM98" s="1057"/>
      <c r="AN98" s="1058"/>
      <c r="AO98" s="1058"/>
      <c r="AP98" s="1059"/>
      <c r="AQ98" s="1057"/>
      <c r="AR98" s="1058"/>
      <c r="AS98" s="1058"/>
      <c r="AT98" s="1058"/>
      <c r="AU98" s="1070"/>
      <c r="AV98" s="62"/>
    </row>
    <row r="99" spans="1:48" ht="2.25" customHeight="1">
      <c r="A99" s="995"/>
      <c r="B99" s="996"/>
      <c r="C99" s="996"/>
      <c r="D99" s="997"/>
      <c r="E99" s="1082"/>
      <c r="F99" s="996"/>
      <c r="G99" s="996"/>
      <c r="H99" s="996"/>
      <c r="I99" s="996"/>
      <c r="J99" s="997"/>
      <c r="K99" s="1082"/>
      <c r="L99" s="997"/>
      <c r="M99" s="1082"/>
      <c r="N99" s="997"/>
      <c r="O99" s="1082"/>
      <c r="P99" s="997"/>
      <c r="Q99" s="1082"/>
      <c r="R99" s="997"/>
      <c r="S99" s="1082"/>
      <c r="T99" s="997"/>
      <c r="U99" s="1075"/>
      <c r="V99" s="1076"/>
      <c r="W99" s="1076"/>
      <c r="X99" s="1076"/>
      <c r="Y99" s="1076"/>
      <c r="Z99" s="1076"/>
      <c r="AA99" s="1077"/>
      <c r="AB99" s="1075"/>
      <c r="AC99" s="1076"/>
      <c r="AD99" s="1077"/>
      <c r="AE99" s="1060"/>
      <c r="AF99" s="1061"/>
      <c r="AG99" s="1061"/>
      <c r="AH99" s="1061"/>
      <c r="AI99" s="1061"/>
      <c r="AJ99" s="1061"/>
      <c r="AK99" s="1061"/>
      <c r="AL99" s="1062"/>
      <c r="AM99" s="1060"/>
      <c r="AN99" s="1061"/>
      <c r="AO99" s="1061"/>
      <c r="AP99" s="1062"/>
      <c r="AQ99" s="1060"/>
      <c r="AR99" s="1061"/>
      <c r="AS99" s="1061"/>
      <c r="AT99" s="1061"/>
      <c r="AU99" s="1071"/>
      <c r="AV99" s="62"/>
    </row>
    <row r="100" spans="1:48" ht="2.25" customHeight="1">
      <c r="A100" s="989"/>
      <c r="B100" s="990"/>
      <c r="C100" s="990"/>
      <c r="D100" s="991"/>
      <c r="E100" s="1044"/>
      <c r="F100" s="990"/>
      <c r="G100" s="990"/>
      <c r="H100" s="990"/>
      <c r="I100" s="990"/>
      <c r="J100" s="991"/>
      <c r="K100" s="1044"/>
      <c r="L100" s="991"/>
      <c r="M100" s="1044"/>
      <c r="N100" s="991"/>
      <c r="O100" s="1044"/>
      <c r="P100" s="991"/>
      <c r="Q100" s="1044"/>
      <c r="R100" s="991"/>
      <c r="S100" s="1044"/>
      <c r="T100" s="991"/>
      <c r="U100" s="1063"/>
      <c r="V100" s="1064"/>
      <c r="W100" s="1064"/>
      <c r="X100" s="1064"/>
      <c r="Y100" s="1064"/>
      <c r="Z100" s="1064"/>
      <c r="AA100" s="1065"/>
      <c r="AB100" s="1063"/>
      <c r="AC100" s="1064"/>
      <c r="AD100" s="1065"/>
      <c r="AE100" s="1054"/>
      <c r="AF100" s="1055"/>
      <c r="AG100" s="1055"/>
      <c r="AH100" s="1055"/>
      <c r="AI100" s="1055"/>
      <c r="AJ100" s="1055"/>
      <c r="AK100" s="1055"/>
      <c r="AL100" s="1056"/>
      <c r="AM100" s="1054"/>
      <c r="AN100" s="1055"/>
      <c r="AO100" s="1055"/>
      <c r="AP100" s="1056"/>
      <c r="AQ100" s="1054"/>
      <c r="AR100" s="1055"/>
      <c r="AS100" s="1055"/>
      <c r="AT100" s="1055"/>
      <c r="AU100" s="1069"/>
      <c r="AV100" s="62"/>
    </row>
    <row r="101" spans="1:48" ht="14.25" customHeight="1">
      <c r="A101" s="992"/>
      <c r="B101" s="993"/>
      <c r="C101" s="993"/>
      <c r="D101" s="994"/>
      <c r="E101" s="1045"/>
      <c r="F101" s="993"/>
      <c r="G101" s="993"/>
      <c r="H101" s="993"/>
      <c r="I101" s="993"/>
      <c r="J101" s="994"/>
      <c r="K101" s="1045"/>
      <c r="L101" s="994"/>
      <c r="M101" s="1045"/>
      <c r="N101" s="994"/>
      <c r="O101" s="1045"/>
      <c r="P101" s="994"/>
      <c r="Q101" s="1045"/>
      <c r="R101" s="994"/>
      <c r="S101" s="1045"/>
      <c r="T101" s="994"/>
      <c r="U101" s="568"/>
      <c r="V101" s="568"/>
      <c r="W101" s="1072"/>
      <c r="X101" s="1073"/>
      <c r="Y101" s="1073"/>
      <c r="Z101" s="1074"/>
      <c r="AA101" s="569"/>
      <c r="AB101" s="568"/>
      <c r="AC101" s="565"/>
      <c r="AD101" s="569"/>
      <c r="AE101" s="1057"/>
      <c r="AF101" s="1058"/>
      <c r="AG101" s="1058"/>
      <c r="AH101" s="1058"/>
      <c r="AI101" s="1058"/>
      <c r="AJ101" s="1058"/>
      <c r="AK101" s="1058"/>
      <c r="AL101" s="1059"/>
      <c r="AM101" s="1057"/>
      <c r="AN101" s="1058"/>
      <c r="AO101" s="1058"/>
      <c r="AP101" s="1059"/>
      <c r="AQ101" s="1057"/>
      <c r="AR101" s="1058"/>
      <c r="AS101" s="1058"/>
      <c r="AT101" s="1058"/>
      <c r="AU101" s="1070"/>
      <c r="AV101" s="62"/>
    </row>
    <row r="102" spans="1:48" ht="2.25" customHeight="1">
      <c r="A102" s="995"/>
      <c r="B102" s="996"/>
      <c r="C102" s="996"/>
      <c r="D102" s="997"/>
      <c r="E102" s="1082"/>
      <c r="F102" s="996"/>
      <c r="G102" s="996"/>
      <c r="H102" s="996"/>
      <c r="I102" s="996"/>
      <c r="J102" s="997"/>
      <c r="K102" s="1082"/>
      <c r="L102" s="997"/>
      <c r="M102" s="1082"/>
      <c r="N102" s="997"/>
      <c r="O102" s="1082"/>
      <c r="P102" s="997"/>
      <c r="Q102" s="1082"/>
      <c r="R102" s="997"/>
      <c r="S102" s="1082"/>
      <c r="T102" s="997"/>
      <c r="U102" s="1075"/>
      <c r="V102" s="1076"/>
      <c r="W102" s="1076"/>
      <c r="X102" s="1076"/>
      <c r="Y102" s="1076"/>
      <c r="Z102" s="1076"/>
      <c r="AA102" s="1077"/>
      <c r="AB102" s="1075"/>
      <c r="AC102" s="1076"/>
      <c r="AD102" s="1077"/>
      <c r="AE102" s="1060"/>
      <c r="AF102" s="1061"/>
      <c r="AG102" s="1061"/>
      <c r="AH102" s="1061"/>
      <c r="AI102" s="1061"/>
      <c r="AJ102" s="1061"/>
      <c r="AK102" s="1061"/>
      <c r="AL102" s="1062"/>
      <c r="AM102" s="1060"/>
      <c r="AN102" s="1061"/>
      <c r="AO102" s="1061"/>
      <c r="AP102" s="1062"/>
      <c r="AQ102" s="1060"/>
      <c r="AR102" s="1061"/>
      <c r="AS102" s="1061"/>
      <c r="AT102" s="1061"/>
      <c r="AU102" s="1071"/>
      <c r="AV102" s="62"/>
    </row>
    <row r="103" spans="1:48" ht="2.25" customHeight="1">
      <c r="A103" s="989"/>
      <c r="B103" s="990"/>
      <c r="C103" s="990"/>
      <c r="D103" s="991"/>
      <c r="E103" s="1044"/>
      <c r="F103" s="990"/>
      <c r="G103" s="990"/>
      <c r="H103" s="990"/>
      <c r="I103" s="990"/>
      <c r="J103" s="991"/>
      <c r="K103" s="1044"/>
      <c r="L103" s="991"/>
      <c r="M103" s="1044"/>
      <c r="N103" s="991"/>
      <c r="O103" s="1044"/>
      <c r="P103" s="991"/>
      <c r="Q103" s="1044"/>
      <c r="R103" s="991"/>
      <c r="S103" s="1044"/>
      <c r="T103" s="991"/>
      <c r="U103" s="1063"/>
      <c r="V103" s="1064"/>
      <c r="W103" s="1064"/>
      <c r="X103" s="1064"/>
      <c r="Y103" s="1064"/>
      <c r="Z103" s="1064"/>
      <c r="AA103" s="1065"/>
      <c r="AB103" s="1063"/>
      <c r="AC103" s="1064"/>
      <c r="AD103" s="1065"/>
      <c r="AE103" s="1054"/>
      <c r="AF103" s="1055"/>
      <c r="AG103" s="1055"/>
      <c r="AH103" s="1055"/>
      <c r="AI103" s="1055"/>
      <c r="AJ103" s="1055"/>
      <c r="AK103" s="1055"/>
      <c r="AL103" s="1056"/>
      <c r="AM103" s="1054"/>
      <c r="AN103" s="1055"/>
      <c r="AO103" s="1055"/>
      <c r="AP103" s="1056"/>
      <c r="AQ103" s="1054"/>
      <c r="AR103" s="1055"/>
      <c r="AS103" s="1055"/>
      <c r="AT103" s="1055"/>
      <c r="AU103" s="1069"/>
      <c r="AV103" s="62"/>
    </row>
    <row r="104" spans="1:48" ht="14.25" customHeight="1">
      <c r="A104" s="992"/>
      <c r="B104" s="993"/>
      <c r="C104" s="993"/>
      <c r="D104" s="994"/>
      <c r="E104" s="1045"/>
      <c r="F104" s="993"/>
      <c r="G104" s="993"/>
      <c r="H104" s="993"/>
      <c r="I104" s="993"/>
      <c r="J104" s="994"/>
      <c r="K104" s="1045"/>
      <c r="L104" s="994"/>
      <c r="M104" s="1045"/>
      <c r="N104" s="994"/>
      <c r="O104" s="1045"/>
      <c r="P104" s="994"/>
      <c r="Q104" s="1045"/>
      <c r="R104" s="994"/>
      <c r="S104" s="1045"/>
      <c r="T104" s="994"/>
      <c r="U104" s="568"/>
      <c r="V104" s="568"/>
      <c r="W104" s="1072"/>
      <c r="X104" s="1073"/>
      <c r="Y104" s="1073"/>
      <c r="Z104" s="1074"/>
      <c r="AA104" s="569"/>
      <c r="AB104" s="568"/>
      <c r="AC104" s="565"/>
      <c r="AD104" s="569"/>
      <c r="AE104" s="1057"/>
      <c r="AF104" s="1058"/>
      <c r="AG104" s="1058"/>
      <c r="AH104" s="1058"/>
      <c r="AI104" s="1058"/>
      <c r="AJ104" s="1058"/>
      <c r="AK104" s="1058"/>
      <c r="AL104" s="1059"/>
      <c r="AM104" s="1057"/>
      <c r="AN104" s="1058"/>
      <c r="AO104" s="1058"/>
      <c r="AP104" s="1059"/>
      <c r="AQ104" s="1057"/>
      <c r="AR104" s="1058"/>
      <c r="AS104" s="1058"/>
      <c r="AT104" s="1058"/>
      <c r="AU104" s="1070"/>
      <c r="AV104" s="62"/>
    </row>
    <row r="105" spans="1:48" ht="2.25" customHeight="1">
      <c r="A105" s="995"/>
      <c r="B105" s="996"/>
      <c r="C105" s="996"/>
      <c r="D105" s="997"/>
      <c r="E105" s="1082"/>
      <c r="F105" s="996"/>
      <c r="G105" s="996"/>
      <c r="H105" s="996"/>
      <c r="I105" s="996"/>
      <c r="J105" s="997"/>
      <c r="K105" s="1082"/>
      <c r="L105" s="997"/>
      <c r="M105" s="1082"/>
      <c r="N105" s="997"/>
      <c r="O105" s="1082"/>
      <c r="P105" s="997"/>
      <c r="Q105" s="1082"/>
      <c r="R105" s="997"/>
      <c r="S105" s="1082"/>
      <c r="T105" s="997"/>
      <c r="U105" s="1075"/>
      <c r="V105" s="1076"/>
      <c r="W105" s="1076"/>
      <c r="X105" s="1076"/>
      <c r="Y105" s="1076"/>
      <c r="Z105" s="1076"/>
      <c r="AA105" s="1077"/>
      <c r="AB105" s="1075"/>
      <c r="AC105" s="1076"/>
      <c r="AD105" s="1077"/>
      <c r="AE105" s="1060"/>
      <c r="AF105" s="1061"/>
      <c r="AG105" s="1061"/>
      <c r="AH105" s="1061"/>
      <c r="AI105" s="1061"/>
      <c r="AJ105" s="1061"/>
      <c r="AK105" s="1061"/>
      <c r="AL105" s="1062"/>
      <c r="AM105" s="1060"/>
      <c r="AN105" s="1061"/>
      <c r="AO105" s="1061"/>
      <c r="AP105" s="1062"/>
      <c r="AQ105" s="1060"/>
      <c r="AR105" s="1061"/>
      <c r="AS105" s="1061"/>
      <c r="AT105" s="1061"/>
      <c r="AU105" s="1071"/>
      <c r="AV105" s="62"/>
    </row>
    <row r="106" spans="1:48" ht="2.25" customHeight="1">
      <c r="A106" s="989"/>
      <c r="B106" s="990"/>
      <c r="C106" s="990"/>
      <c r="D106" s="991"/>
      <c r="E106" s="1044"/>
      <c r="F106" s="990"/>
      <c r="G106" s="990"/>
      <c r="H106" s="990"/>
      <c r="I106" s="990"/>
      <c r="J106" s="991"/>
      <c r="K106" s="1044"/>
      <c r="L106" s="991"/>
      <c r="M106" s="1044"/>
      <c r="N106" s="991"/>
      <c r="O106" s="1044"/>
      <c r="P106" s="991"/>
      <c r="Q106" s="1044"/>
      <c r="R106" s="991"/>
      <c r="S106" s="1044"/>
      <c r="T106" s="991"/>
      <c r="U106" s="570"/>
      <c r="V106" s="571"/>
      <c r="W106" s="571"/>
      <c r="X106" s="571"/>
      <c r="Y106" s="571"/>
      <c r="Z106" s="571"/>
      <c r="AA106" s="572"/>
      <c r="AB106" s="570"/>
      <c r="AC106" s="571"/>
      <c r="AD106" s="572"/>
      <c r="AE106" s="1054"/>
      <c r="AF106" s="1055"/>
      <c r="AG106" s="1055"/>
      <c r="AH106" s="1055"/>
      <c r="AI106" s="1055"/>
      <c r="AJ106" s="1055"/>
      <c r="AK106" s="1055"/>
      <c r="AL106" s="1056"/>
      <c r="AM106" s="1054"/>
      <c r="AN106" s="1055"/>
      <c r="AO106" s="1055"/>
      <c r="AP106" s="1056"/>
      <c r="AQ106" s="1054"/>
      <c r="AR106" s="1055"/>
      <c r="AS106" s="1055"/>
      <c r="AT106" s="1055"/>
      <c r="AU106" s="1069"/>
      <c r="AV106" s="62"/>
    </row>
    <row r="107" spans="1:48" ht="14.25" customHeight="1">
      <c r="A107" s="992"/>
      <c r="B107" s="993"/>
      <c r="C107" s="993"/>
      <c r="D107" s="994"/>
      <c r="E107" s="1045"/>
      <c r="F107" s="993"/>
      <c r="G107" s="993"/>
      <c r="H107" s="993"/>
      <c r="I107" s="993"/>
      <c r="J107" s="994"/>
      <c r="K107" s="1045"/>
      <c r="L107" s="994"/>
      <c r="M107" s="1045"/>
      <c r="N107" s="994"/>
      <c r="O107" s="1045"/>
      <c r="P107" s="994"/>
      <c r="Q107" s="1045"/>
      <c r="R107" s="994"/>
      <c r="S107" s="1045"/>
      <c r="T107" s="994"/>
      <c r="U107" s="570"/>
      <c r="V107" s="571"/>
      <c r="W107" s="1072"/>
      <c r="X107" s="1073"/>
      <c r="Y107" s="1073"/>
      <c r="Z107" s="1074"/>
      <c r="AA107" s="572"/>
      <c r="AB107" s="570"/>
      <c r="AC107" s="565"/>
      <c r="AD107" s="572"/>
      <c r="AE107" s="1057"/>
      <c r="AF107" s="1058"/>
      <c r="AG107" s="1058"/>
      <c r="AH107" s="1058"/>
      <c r="AI107" s="1058"/>
      <c r="AJ107" s="1058"/>
      <c r="AK107" s="1058"/>
      <c r="AL107" s="1059"/>
      <c r="AM107" s="1057"/>
      <c r="AN107" s="1058"/>
      <c r="AO107" s="1058"/>
      <c r="AP107" s="1059"/>
      <c r="AQ107" s="1057"/>
      <c r="AR107" s="1058"/>
      <c r="AS107" s="1058"/>
      <c r="AT107" s="1058"/>
      <c r="AU107" s="1070"/>
      <c r="AV107" s="62"/>
    </row>
    <row r="108" spans="1:48" ht="2.25" customHeight="1">
      <c r="A108" s="995"/>
      <c r="B108" s="996"/>
      <c r="C108" s="996"/>
      <c r="D108" s="997"/>
      <c r="E108" s="1082"/>
      <c r="F108" s="996"/>
      <c r="G108" s="996"/>
      <c r="H108" s="996"/>
      <c r="I108" s="996"/>
      <c r="J108" s="997"/>
      <c r="K108" s="1082"/>
      <c r="L108" s="997"/>
      <c r="M108" s="1082"/>
      <c r="N108" s="997"/>
      <c r="O108" s="1082"/>
      <c r="P108" s="997"/>
      <c r="Q108" s="1082"/>
      <c r="R108" s="997"/>
      <c r="S108" s="1082"/>
      <c r="T108" s="997"/>
      <c r="U108" s="573"/>
      <c r="V108" s="574"/>
      <c r="W108" s="574"/>
      <c r="X108" s="574"/>
      <c r="Y108" s="574"/>
      <c r="Z108" s="574"/>
      <c r="AA108" s="575"/>
      <c r="AB108" s="573"/>
      <c r="AC108" s="574"/>
      <c r="AD108" s="575"/>
      <c r="AE108" s="1060"/>
      <c r="AF108" s="1061"/>
      <c r="AG108" s="1061"/>
      <c r="AH108" s="1061"/>
      <c r="AI108" s="1061"/>
      <c r="AJ108" s="1061"/>
      <c r="AK108" s="1061"/>
      <c r="AL108" s="1062"/>
      <c r="AM108" s="1060"/>
      <c r="AN108" s="1061"/>
      <c r="AO108" s="1061"/>
      <c r="AP108" s="1062"/>
      <c r="AQ108" s="1060"/>
      <c r="AR108" s="1061"/>
      <c r="AS108" s="1061"/>
      <c r="AT108" s="1061"/>
      <c r="AU108" s="1071"/>
      <c r="AV108" s="62"/>
    </row>
    <row r="109" spans="1:48" ht="2.25" customHeight="1">
      <c r="A109" s="989"/>
      <c r="B109" s="990"/>
      <c r="C109" s="990"/>
      <c r="D109" s="991"/>
      <c r="E109" s="1044"/>
      <c r="F109" s="990"/>
      <c r="G109" s="990"/>
      <c r="H109" s="990"/>
      <c r="I109" s="990"/>
      <c r="J109" s="991"/>
      <c r="K109" s="1044"/>
      <c r="L109" s="991"/>
      <c r="M109" s="1044"/>
      <c r="N109" s="991"/>
      <c r="O109" s="1044"/>
      <c r="P109" s="991"/>
      <c r="Q109" s="1044"/>
      <c r="R109" s="991"/>
      <c r="S109" s="1044"/>
      <c r="T109" s="991"/>
      <c r="U109" s="570"/>
      <c r="V109" s="571"/>
      <c r="W109" s="571"/>
      <c r="X109" s="571"/>
      <c r="Y109" s="571"/>
      <c r="Z109" s="571"/>
      <c r="AA109" s="572"/>
      <c r="AB109" s="570"/>
      <c r="AC109" s="571"/>
      <c r="AD109" s="572"/>
      <c r="AE109" s="1054"/>
      <c r="AF109" s="1055"/>
      <c r="AG109" s="1055"/>
      <c r="AH109" s="1055"/>
      <c r="AI109" s="1055"/>
      <c r="AJ109" s="1055"/>
      <c r="AK109" s="1055"/>
      <c r="AL109" s="1056"/>
      <c r="AM109" s="1054"/>
      <c r="AN109" s="1055"/>
      <c r="AO109" s="1055"/>
      <c r="AP109" s="1056"/>
      <c r="AQ109" s="1054"/>
      <c r="AR109" s="1055"/>
      <c r="AS109" s="1055"/>
      <c r="AT109" s="1055"/>
      <c r="AU109" s="1069"/>
      <c r="AV109" s="62"/>
    </row>
    <row r="110" spans="1:48" ht="14.25" customHeight="1">
      <c r="A110" s="992"/>
      <c r="B110" s="993"/>
      <c r="C110" s="993"/>
      <c r="D110" s="994"/>
      <c r="E110" s="1045"/>
      <c r="F110" s="993"/>
      <c r="G110" s="993"/>
      <c r="H110" s="993"/>
      <c r="I110" s="993"/>
      <c r="J110" s="994"/>
      <c r="K110" s="1045"/>
      <c r="L110" s="994"/>
      <c r="M110" s="1045"/>
      <c r="N110" s="994"/>
      <c r="O110" s="1045"/>
      <c r="P110" s="994"/>
      <c r="Q110" s="1045"/>
      <c r="R110" s="994"/>
      <c r="S110" s="1045"/>
      <c r="T110" s="994"/>
      <c r="U110" s="570"/>
      <c r="V110" s="571"/>
      <c r="W110" s="1072"/>
      <c r="X110" s="1073"/>
      <c r="Y110" s="1073"/>
      <c r="Z110" s="1074"/>
      <c r="AA110" s="572"/>
      <c r="AB110" s="570"/>
      <c r="AC110" s="565"/>
      <c r="AD110" s="572"/>
      <c r="AE110" s="1057"/>
      <c r="AF110" s="1058"/>
      <c r="AG110" s="1058"/>
      <c r="AH110" s="1058"/>
      <c r="AI110" s="1058"/>
      <c r="AJ110" s="1058"/>
      <c r="AK110" s="1058"/>
      <c r="AL110" s="1059"/>
      <c r="AM110" s="1057"/>
      <c r="AN110" s="1058"/>
      <c r="AO110" s="1058"/>
      <c r="AP110" s="1059"/>
      <c r="AQ110" s="1057"/>
      <c r="AR110" s="1058"/>
      <c r="AS110" s="1058"/>
      <c r="AT110" s="1058"/>
      <c r="AU110" s="1070"/>
      <c r="AV110" s="62"/>
    </row>
    <row r="111" spans="1:48" ht="2.25" customHeight="1">
      <c r="A111" s="995"/>
      <c r="B111" s="996"/>
      <c r="C111" s="996"/>
      <c r="D111" s="997"/>
      <c r="E111" s="1082"/>
      <c r="F111" s="996"/>
      <c r="G111" s="996"/>
      <c r="H111" s="996"/>
      <c r="I111" s="996"/>
      <c r="J111" s="997"/>
      <c r="K111" s="1082"/>
      <c r="L111" s="997"/>
      <c r="M111" s="1082"/>
      <c r="N111" s="997"/>
      <c r="O111" s="1082"/>
      <c r="P111" s="997"/>
      <c r="Q111" s="1082"/>
      <c r="R111" s="997"/>
      <c r="S111" s="1082"/>
      <c r="T111" s="997"/>
      <c r="U111" s="573"/>
      <c r="V111" s="574"/>
      <c r="W111" s="574"/>
      <c r="X111" s="574"/>
      <c r="Y111" s="574"/>
      <c r="Z111" s="574"/>
      <c r="AA111" s="575"/>
      <c r="AB111" s="573"/>
      <c r="AC111" s="574"/>
      <c r="AD111" s="575"/>
      <c r="AE111" s="1060"/>
      <c r="AF111" s="1061"/>
      <c r="AG111" s="1061"/>
      <c r="AH111" s="1061"/>
      <c r="AI111" s="1061"/>
      <c r="AJ111" s="1061"/>
      <c r="AK111" s="1061"/>
      <c r="AL111" s="1062"/>
      <c r="AM111" s="1060"/>
      <c r="AN111" s="1061"/>
      <c r="AO111" s="1061"/>
      <c r="AP111" s="1062"/>
      <c r="AQ111" s="1060"/>
      <c r="AR111" s="1061"/>
      <c r="AS111" s="1061"/>
      <c r="AT111" s="1061"/>
      <c r="AU111" s="1071"/>
      <c r="AV111" s="62"/>
    </row>
    <row r="112" spans="1:48" ht="2.25" customHeight="1">
      <c r="A112" s="989"/>
      <c r="B112" s="990"/>
      <c r="C112" s="990"/>
      <c r="D112" s="991"/>
      <c r="E112" s="1044"/>
      <c r="F112" s="990"/>
      <c r="G112" s="990"/>
      <c r="H112" s="990"/>
      <c r="I112" s="990"/>
      <c r="J112" s="991"/>
      <c r="K112" s="1044"/>
      <c r="L112" s="991"/>
      <c r="M112" s="1044"/>
      <c r="N112" s="991"/>
      <c r="O112" s="1044"/>
      <c r="P112" s="991"/>
      <c r="Q112" s="1044"/>
      <c r="R112" s="991"/>
      <c r="S112" s="1044"/>
      <c r="T112" s="991"/>
      <c r="U112" s="1063"/>
      <c r="V112" s="1064"/>
      <c r="W112" s="1064"/>
      <c r="X112" s="1064"/>
      <c r="Y112" s="1064"/>
      <c r="Z112" s="1064"/>
      <c r="AA112" s="1065"/>
      <c r="AB112" s="1063"/>
      <c r="AC112" s="1064"/>
      <c r="AD112" s="1065"/>
      <c r="AE112" s="1054"/>
      <c r="AF112" s="1055"/>
      <c r="AG112" s="1055"/>
      <c r="AH112" s="1055"/>
      <c r="AI112" s="1055"/>
      <c r="AJ112" s="1055"/>
      <c r="AK112" s="1055"/>
      <c r="AL112" s="1056"/>
      <c r="AM112" s="1054"/>
      <c r="AN112" s="1055"/>
      <c r="AO112" s="1055"/>
      <c r="AP112" s="1056"/>
      <c r="AQ112" s="1054"/>
      <c r="AR112" s="1055"/>
      <c r="AS112" s="1055"/>
      <c r="AT112" s="1055"/>
      <c r="AU112" s="1069"/>
      <c r="AV112" s="62"/>
    </row>
    <row r="113" spans="1:48" ht="14.25" customHeight="1">
      <c r="A113" s="992"/>
      <c r="B113" s="993"/>
      <c r="C113" s="993"/>
      <c r="D113" s="994"/>
      <c r="E113" s="1045"/>
      <c r="F113" s="993"/>
      <c r="G113" s="993"/>
      <c r="H113" s="993"/>
      <c r="I113" s="993"/>
      <c r="J113" s="994"/>
      <c r="K113" s="1045"/>
      <c r="L113" s="994"/>
      <c r="M113" s="1045"/>
      <c r="N113" s="994"/>
      <c r="O113" s="1045"/>
      <c r="P113" s="994"/>
      <c r="Q113" s="1045"/>
      <c r="R113" s="994"/>
      <c r="S113" s="1045"/>
      <c r="T113" s="994"/>
      <c r="U113" s="568"/>
      <c r="V113" s="568"/>
      <c r="W113" s="1072"/>
      <c r="X113" s="1073"/>
      <c r="Y113" s="1073"/>
      <c r="Z113" s="1074"/>
      <c r="AA113" s="569"/>
      <c r="AB113" s="568"/>
      <c r="AC113" s="565"/>
      <c r="AD113" s="569"/>
      <c r="AE113" s="1057"/>
      <c r="AF113" s="1058"/>
      <c r="AG113" s="1058"/>
      <c r="AH113" s="1058"/>
      <c r="AI113" s="1058"/>
      <c r="AJ113" s="1058"/>
      <c r="AK113" s="1058"/>
      <c r="AL113" s="1059"/>
      <c r="AM113" s="1057"/>
      <c r="AN113" s="1058"/>
      <c r="AO113" s="1058"/>
      <c r="AP113" s="1059"/>
      <c r="AQ113" s="1057"/>
      <c r="AR113" s="1058"/>
      <c r="AS113" s="1058"/>
      <c r="AT113" s="1058"/>
      <c r="AU113" s="1070"/>
      <c r="AV113" s="62"/>
    </row>
    <row r="114" spans="1:48" ht="2.25" customHeight="1">
      <c r="A114" s="995"/>
      <c r="B114" s="996"/>
      <c r="C114" s="996"/>
      <c r="D114" s="997"/>
      <c r="E114" s="1082"/>
      <c r="F114" s="996"/>
      <c r="G114" s="996"/>
      <c r="H114" s="996"/>
      <c r="I114" s="996"/>
      <c r="J114" s="997"/>
      <c r="K114" s="1082"/>
      <c r="L114" s="997"/>
      <c r="M114" s="1082"/>
      <c r="N114" s="997"/>
      <c r="O114" s="1082"/>
      <c r="P114" s="997"/>
      <c r="Q114" s="1082"/>
      <c r="R114" s="997"/>
      <c r="S114" s="1082"/>
      <c r="T114" s="997"/>
      <c r="U114" s="1075"/>
      <c r="V114" s="1076"/>
      <c r="W114" s="1076"/>
      <c r="X114" s="1076"/>
      <c r="Y114" s="1076"/>
      <c r="Z114" s="1076"/>
      <c r="AA114" s="1077"/>
      <c r="AB114" s="1075"/>
      <c r="AC114" s="1076"/>
      <c r="AD114" s="1077"/>
      <c r="AE114" s="1060"/>
      <c r="AF114" s="1061"/>
      <c r="AG114" s="1061"/>
      <c r="AH114" s="1061"/>
      <c r="AI114" s="1061"/>
      <c r="AJ114" s="1061"/>
      <c r="AK114" s="1061"/>
      <c r="AL114" s="1062"/>
      <c r="AM114" s="1060"/>
      <c r="AN114" s="1061"/>
      <c r="AO114" s="1061"/>
      <c r="AP114" s="1062"/>
      <c r="AQ114" s="1060"/>
      <c r="AR114" s="1061"/>
      <c r="AS114" s="1061"/>
      <c r="AT114" s="1061"/>
      <c r="AU114" s="1071"/>
      <c r="AV114" s="62"/>
    </row>
    <row r="115" spans="1:48" ht="2.25" customHeight="1">
      <c r="A115" s="989"/>
      <c r="B115" s="990"/>
      <c r="C115" s="990"/>
      <c r="D115" s="991"/>
      <c r="E115" s="1044"/>
      <c r="F115" s="990"/>
      <c r="G115" s="990"/>
      <c r="H115" s="990"/>
      <c r="I115" s="990"/>
      <c r="J115" s="991"/>
      <c r="K115" s="1044"/>
      <c r="L115" s="991"/>
      <c r="M115" s="1044"/>
      <c r="N115" s="991"/>
      <c r="O115" s="1044"/>
      <c r="P115" s="991"/>
      <c r="Q115" s="1044"/>
      <c r="R115" s="991"/>
      <c r="S115" s="1044"/>
      <c r="T115" s="991"/>
      <c r="U115" s="571"/>
      <c r="V115" s="571"/>
      <c r="W115" s="571"/>
      <c r="X115" s="571"/>
      <c r="Y115" s="571"/>
      <c r="Z115" s="571"/>
      <c r="AA115" s="572"/>
      <c r="AB115" s="571"/>
      <c r="AC115" s="571"/>
      <c r="AD115" s="572"/>
      <c r="AE115" s="1054"/>
      <c r="AF115" s="1055"/>
      <c r="AG115" s="1055"/>
      <c r="AH115" s="1055"/>
      <c r="AI115" s="1055"/>
      <c r="AJ115" s="1055"/>
      <c r="AK115" s="1055"/>
      <c r="AL115" s="1056"/>
      <c r="AM115" s="1054"/>
      <c r="AN115" s="1055"/>
      <c r="AO115" s="1055"/>
      <c r="AP115" s="1056"/>
      <c r="AQ115" s="1054"/>
      <c r="AR115" s="1055"/>
      <c r="AS115" s="1055"/>
      <c r="AT115" s="1055"/>
      <c r="AU115" s="1069"/>
      <c r="AV115" s="62"/>
    </row>
    <row r="116" spans="1:48" ht="14.25" customHeight="1">
      <c r="A116" s="992"/>
      <c r="B116" s="993"/>
      <c r="C116" s="993"/>
      <c r="D116" s="994"/>
      <c r="E116" s="1045"/>
      <c r="F116" s="993"/>
      <c r="G116" s="993"/>
      <c r="H116" s="993"/>
      <c r="I116" s="993"/>
      <c r="J116" s="994"/>
      <c r="K116" s="1045"/>
      <c r="L116" s="994"/>
      <c r="M116" s="1045"/>
      <c r="N116" s="994"/>
      <c r="O116" s="1045"/>
      <c r="P116" s="994"/>
      <c r="Q116" s="1045"/>
      <c r="R116" s="994"/>
      <c r="S116" s="1045"/>
      <c r="T116" s="994"/>
      <c r="U116" s="568"/>
      <c r="V116" s="568"/>
      <c r="W116" s="1072"/>
      <c r="X116" s="1073"/>
      <c r="Y116" s="1073"/>
      <c r="Z116" s="1074"/>
      <c r="AA116" s="569"/>
      <c r="AB116" s="568"/>
      <c r="AC116" s="565"/>
      <c r="AD116" s="569"/>
      <c r="AE116" s="1057"/>
      <c r="AF116" s="1058"/>
      <c r="AG116" s="1058"/>
      <c r="AH116" s="1058"/>
      <c r="AI116" s="1058"/>
      <c r="AJ116" s="1058"/>
      <c r="AK116" s="1058"/>
      <c r="AL116" s="1059"/>
      <c r="AM116" s="1057"/>
      <c r="AN116" s="1058"/>
      <c r="AO116" s="1058"/>
      <c r="AP116" s="1059"/>
      <c r="AQ116" s="1057"/>
      <c r="AR116" s="1058"/>
      <c r="AS116" s="1058"/>
      <c r="AT116" s="1058"/>
      <c r="AU116" s="1070"/>
      <c r="AV116" s="62"/>
    </row>
    <row r="117" spans="1:48" ht="2.25" customHeight="1">
      <c r="A117" s="995"/>
      <c r="B117" s="996"/>
      <c r="C117" s="996"/>
      <c r="D117" s="997"/>
      <c r="E117" s="1082"/>
      <c r="F117" s="996"/>
      <c r="G117" s="996"/>
      <c r="H117" s="996"/>
      <c r="I117" s="996"/>
      <c r="J117" s="997"/>
      <c r="K117" s="1082"/>
      <c r="L117" s="997"/>
      <c r="M117" s="1082"/>
      <c r="N117" s="997"/>
      <c r="O117" s="1082"/>
      <c r="P117" s="997"/>
      <c r="Q117" s="1082"/>
      <c r="R117" s="997"/>
      <c r="S117" s="1082"/>
      <c r="T117" s="997"/>
      <c r="U117" s="576"/>
      <c r="V117" s="567"/>
      <c r="W117" s="567"/>
      <c r="X117" s="567"/>
      <c r="Y117" s="567"/>
      <c r="Z117" s="567"/>
      <c r="AA117" s="577"/>
      <c r="AB117" s="576"/>
      <c r="AC117" s="567"/>
      <c r="AD117" s="577"/>
      <c r="AE117" s="1060"/>
      <c r="AF117" s="1061"/>
      <c r="AG117" s="1061"/>
      <c r="AH117" s="1061"/>
      <c r="AI117" s="1061"/>
      <c r="AJ117" s="1061"/>
      <c r="AK117" s="1061"/>
      <c r="AL117" s="1062"/>
      <c r="AM117" s="1060"/>
      <c r="AN117" s="1061"/>
      <c r="AO117" s="1061"/>
      <c r="AP117" s="1062"/>
      <c r="AQ117" s="1060"/>
      <c r="AR117" s="1061"/>
      <c r="AS117" s="1061"/>
      <c r="AT117" s="1061"/>
      <c r="AU117" s="1071"/>
      <c r="AV117" s="62"/>
    </row>
    <row r="118" spans="1:48" ht="2.25" customHeight="1">
      <c r="A118" s="989"/>
      <c r="B118" s="990"/>
      <c r="C118" s="990"/>
      <c r="D118" s="991"/>
      <c r="E118" s="1044"/>
      <c r="F118" s="990"/>
      <c r="G118" s="990"/>
      <c r="H118" s="990"/>
      <c r="I118" s="990"/>
      <c r="J118" s="991"/>
      <c r="K118" s="1044"/>
      <c r="L118" s="991"/>
      <c r="M118" s="1044"/>
      <c r="N118" s="991"/>
      <c r="O118" s="1044"/>
      <c r="P118" s="991"/>
      <c r="Q118" s="1044"/>
      <c r="R118" s="991"/>
      <c r="S118" s="1044"/>
      <c r="T118" s="991"/>
      <c r="U118" s="1063"/>
      <c r="V118" s="1064"/>
      <c r="W118" s="1064"/>
      <c r="X118" s="1064"/>
      <c r="Y118" s="1064"/>
      <c r="Z118" s="1064"/>
      <c r="AA118" s="1065"/>
      <c r="AB118" s="1063"/>
      <c r="AC118" s="1064"/>
      <c r="AD118" s="1065"/>
      <c r="AE118" s="1054"/>
      <c r="AF118" s="1055"/>
      <c r="AG118" s="1055"/>
      <c r="AH118" s="1055"/>
      <c r="AI118" s="1055"/>
      <c r="AJ118" s="1055"/>
      <c r="AK118" s="1055"/>
      <c r="AL118" s="1056"/>
      <c r="AM118" s="1054"/>
      <c r="AN118" s="1055"/>
      <c r="AO118" s="1055"/>
      <c r="AP118" s="1056"/>
      <c r="AQ118" s="1054"/>
      <c r="AR118" s="1055"/>
      <c r="AS118" s="1055"/>
      <c r="AT118" s="1055"/>
      <c r="AU118" s="1069"/>
      <c r="AV118" s="62"/>
    </row>
    <row r="119" spans="1:48" ht="14.25" customHeight="1">
      <c r="A119" s="992"/>
      <c r="B119" s="993"/>
      <c r="C119" s="993"/>
      <c r="D119" s="994"/>
      <c r="E119" s="1045"/>
      <c r="F119" s="993"/>
      <c r="G119" s="993"/>
      <c r="H119" s="993"/>
      <c r="I119" s="993"/>
      <c r="J119" s="994"/>
      <c r="K119" s="1045"/>
      <c r="L119" s="994"/>
      <c r="M119" s="1045"/>
      <c r="N119" s="994"/>
      <c r="O119" s="1045"/>
      <c r="P119" s="994"/>
      <c r="Q119" s="1045"/>
      <c r="R119" s="994"/>
      <c r="S119" s="1045"/>
      <c r="T119" s="994"/>
      <c r="U119" s="568"/>
      <c r="V119" s="568"/>
      <c r="W119" s="1072"/>
      <c r="X119" s="1073"/>
      <c r="Y119" s="1073"/>
      <c r="Z119" s="1074"/>
      <c r="AA119" s="569"/>
      <c r="AB119" s="568"/>
      <c r="AC119" s="565"/>
      <c r="AD119" s="569"/>
      <c r="AE119" s="1057"/>
      <c r="AF119" s="1058"/>
      <c r="AG119" s="1058"/>
      <c r="AH119" s="1058"/>
      <c r="AI119" s="1058"/>
      <c r="AJ119" s="1058"/>
      <c r="AK119" s="1058"/>
      <c r="AL119" s="1059"/>
      <c r="AM119" s="1057"/>
      <c r="AN119" s="1058"/>
      <c r="AO119" s="1058"/>
      <c r="AP119" s="1059"/>
      <c r="AQ119" s="1057"/>
      <c r="AR119" s="1058"/>
      <c r="AS119" s="1058"/>
      <c r="AT119" s="1058"/>
      <c r="AU119" s="1070"/>
      <c r="AV119" s="62"/>
    </row>
    <row r="120" spans="1:48" ht="2.25" customHeight="1">
      <c r="A120" s="995"/>
      <c r="B120" s="996"/>
      <c r="C120" s="996"/>
      <c r="D120" s="997"/>
      <c r="E120" s="1082"/>
      <c r="F120" s="996"/>
      <c r="G120" s="996"/>
      <c r="H120" s="996"/>
      <c r="I120" s="996"/>
      <c r="J120" s="997"/>
      <c r="K120" s="1082"/>
      <c r="L120" s="997"/>
      <c r="M120" s="1082"/>
      <c r="N120" s="997"/>
      <c r="O120" s="1082"/>
      <c r="P120" s="997"/>
      <c r="Q120" s="1082"/>
      <c r="R120" s="997"/>
      <c r="S120" s="1082"/>
      <c r="T120" s="997"/>
      <c r="U120" s="1075"/>
      <c r="V120" s="1076"/>
      <c r="W120" s="1076"/>
      <c r="X120" s="1076"/>
      <c r="Y120" s="1076"/>
      <c r="Z120" s="1076"/>
      <c r="AA120" s="1077"/>
      <c r="AB120" s="1075"/>
      <c r="AC120" s="1076"/>
      <c r="AD120" s="1077"/>
      <c r="AE120" s="1060"/>
      <c r="AF120" s="1061"/>
      <c r="AG120" s="1061"/>
      <c r="AH120" s="1061"/>
      <c r="AI120" s="1061"/>
      <c r="AJ120" s="1061"/>
      <c r="AK120" s="1061"/>
      <c r="AL120" s="1062"/>
      <c r="AM120" s="1060"/>
      <c r="AN120" s="1061"/>
      <c r="AO120" s="1061"/>
      <c r="AP120" s="1062"/>
      <c r="AQ120" s="1060"/>
      <c r="AR120" s="1061"/>
      <c r="AS120" s="1061"/>
      <c r="AT120" s="1061"/>
      <c r="AU120" s="1071"/>
      <c r="AV120" s="62"/>
    </row>
    <row r="121" spans="1:48" ht="2.25" customHeight="1">
      <c r="A121" s="989"/>
      <c r="B121" s="990"/>
      <c r="C121" s="990"/>
      <c r="D121" s="991"/>
      <c r="E121" s="1044"/>
      <c r="F121" s="990"/>
      <c r="G121" s="990"/>
      <c r="H121" s="990"/>
      <c r="I121" s="990"/>
      <c r="J121" s="991"/>
      <c r="K121" s="1044"/>
      <c r="L121" s="991"/>
      <c r="M121" s="1044"/>
      <c r="N121" s="991"/>
      <c r="O121" s="1044"/>
      <c r="P121" s="991"/>
      <c r="Q121" s="1044"/>
      <c r="R121" s="991"/>
      <c r="S121" s="1044"/>
      <c r="T121" s="991"/>
      <c r="U121" s="1063"/>
      <c r="V121" s="1064"/>
      <c r="W121" s="1064"/>
      <c r="X121" s="1064"/>
      <c r="Y121" s="1064"/>
      <c r="Z121" s="1064"/>
      <c r="AA121" s="1065"/>
      <c r="AB121" s="1063"/>
      <c r="AC121" s="1064"/>
      <c r="AD121" s="1065"/>
      <c r="AE121" s="1054"/>
      <c r="AF121" s="1055"/>
      <c r="AG121" s="1055"/>
      <c r="AH121" s="1055"/>
      <c r="AI121" s="1055"/>
      <c r="AJ121" s="1055"/>
      <c r="AK121" s="1055"/>
      <c r="AL121" s="1056"/>
      <c r="AM121" s="1054"/>
      <c r="AN121" s="1055"/>
      <c r="AO121" s="1055"/>
      <c r="AP121" s="1056"/>
      <c r="AQ121" s="1054"/>
      <c r="AR121" s="1055"/>
      <c r="AS121" s="1055"/>
      <c r="AT121" s="1055"/>
      <c r="AU121" s="1069"/>
      <c r="AV121" s="62"/>
    </row>
    <row r="122" spans="1:48" ht="14.25" customHeight="1">
      <c r="A122" s="992"/>
      <c r="B122" s="993"/>
      <c r="C122" s="993"/>
      <c r="D122" s="994"/>
      <c r="E122" s="1045"/>
      <c r="F122" s="993"/>
      <c r="G122" s="993"/>
      <c r="H122" s="993"/>
      <c r="I122" s="993"/>
      <c r="J122" s="994"/>
      <c r="K122" s="1045"/>
      <c r="L122" s="994"/>
      <c r="M122" s="1045"/>
      <c r="N122" s="994"/>
      <c r="O122" s="1045"/>
      <c r="P122" s="994"/>
      <c r="Q122" s="1045"/>
      <c r="R122" s="994"/>
      <c r="S122" s="1045"/>
      <c r="T122" s="994"/>
      <c r="U122" s="568"/>
      <c r="V122" s="568"/>
      <c r="W122" s="1072"/>
      <c r="X122" s="1073"/>
      <c r="Y122" s="1073"/>
      <c r="Z122" s="1074"/>
      <c r="AA122" s="569"/>
      <c r="AB122" s="568"/>
      <c r="AC122" s="565"/>
      <c r="AD122" s="569"/>
      <c r="AE122" s="1057"/>
      <c r="AF122" s="1058"/>
      <c r="AG122" s="1058"/>
      <c r="AH122" s="1058"/>
      <c r="AI122" s="1058"/>
      <c r="AJ122" s="1058"/>
      <c r="AK122" s="1058"/>
      <c r="AL122" s="1059"/>
      <c r="AM122" s="1057"/>
      <c r="AN122" s="1058"/>
      <c r="AO122" s="1058"/>
      <c r="AP122" s="1059"/>
      <c r="AQ122" s="1057"/>
      <c r="AR122" s="1058"/>
      <c r="AS122" s="1058"/>
      <c r="AT122" s="1058"/>
      <c r="AU122" s="1070"/>
      <c r="AV122" s="62"/>
    </row>
    <row r="123" spans="1:48" ht="2.25" customHeight="1">
      <c r="A123" s="995"/>
      <c r="B123" s="996"/>
      <c r="C123" s="996"/>
      <c r="D123" s="997"/>
      <c r="E123" s="1082"/>
      <c r="F123" s="996"/>
      <c r="G123" s="996"/>
      <c r="H123" s="996"/>
      <c r="I123" s="996"/>
      <c r="J123" s="997"/>
      <c r="K123" s="1082"/>
      <c r="L123" s="997"/>
      <c r="M123" s="1082"/>
      <c r="N123" s="997"/>
      <c r="O123" s="1082"/>
      <c r="P123" s="997"/>
      <c r="Q123" s="1082"/>
      <c r="R123" s="997"/>
      <c r="S123" s="1082"/>
      <c r="T123" s="997"/>
      <c r="U123" s="1075"/>
      <c r="V123" s="1076"/>
      <c r="W123" s="1076"/>
      <c r="X123" s="1076"/>
      <c r="Y123" s="1076"/>
      <c r="Z123" s="1076"/>
      <c r="AA123" s="1077"/>
      <c r="AB123" s="1075"/>
      <c r="AC123" s="1076"/>
      <c r="AD123" s="1077"/>
      <c r="AE123" s="1060"/>
      <c r="AF123" s="1061"/>
      <c r="AG123" s="1061"/>
      <c r="AH123" s="1061"/>
      <c r="AI123" s="1061"/>
      <c r="AJ123" s="1061"/>
      <c r="AK123" s="1061"/>
      <c r="AL123" s="1062"/>
      <c r="AM123" s="1060"/>
      <c r="AN123" s="1061"/>
      <c r="AO123" s="1061"/>
      <c r="AP123" s="1062"/>
      <c r="AQ123" s="1060"/>
      <c r="AR123" s="1061"/>
      <c r="AS123" s="1061"/>
      <c r="AT123" s="1061"/>
      <c r="AU123" s="1071"/>
      <c r="AV123" s="62"/>
    </row>
    <row r="124" spans="1:48" ht="2.25" customHeight="1">
      <c r="A124" s="989"/>
      <c r="B124" s="990"/>
      <c r="C124" s="990"/>
      <c r="D124" s="991"/>
      <c r="E124" s="1044"/>
      <c r="F124" s="990"/>
      <c r="G124" s="990"/>
      <c r="H124" s="990"/>
      <c r="I124" s="990"/>
      <c r="J124" s="991"/>
      <c r="K124" s="1044"/>
      <c r="L124" s="991"/>
      <c r="M124" s="1044"/>
      <c r="N124" s="991"/>
      <c r="O124" s="1044"/>
      <c r="P124" s="991"/>
      <c r="Q124" s="1044"/>
      <c r="R124" s="991"/>
      <c r="S124" s="1044"/>
      <c r="T124" s="991"/>
      <c r="U124" s="1063"/>
      <c r="V124" s="1064"/>
      <c r="W124" s="1064"/>
      <c r="X124" s="1064"/>
      <c r="Y124" s="1064"/>
      <c r="Z124" s="1064"/>
      <c r="AA124" s="1065"/>
      <c r="AB124" s="1063"/>
      <c r="AC124" s="1064"/>
      <c r="AD124" s="1065"/>
      <c r="AE124" s="1054"/>
      <c r="AF124" s="1055"/>
      <c r="AG124" s="1055"/>
      <c r="AH124" s="1055"/>
      <c r="AI124" s="1055"/>
      <c r="AJ124" s="1055"/>
      <c r="AK124" s="1055"/>
      <c r="AL124" s="1056"/>
      <c r="AM124" s="1054"/>
      <c r="AN124" s="1055"/>
      <c r="AO124" s="1055"/>
      <c r="AP124" s="1056"/>
      <c r="AQ124" s="1054"/>
      <c r="AR124" s="1055"/>
      <c r="AS124" s="1055"/>
      <c r="AT124" s="1055"/>
      <c r="AU124" s="1069"/>
      <c r="AV124" s="62"/>
    </row>
    <row r="125" spans="1:48" ht="14.25" customHeight="1">
      <c r="A125" s="992"/>
      <c r="B125" s="993"/>
      <c r="C125" s="993"/>
      <c r="D125" s="994"/>
      <c r="E125" s="1045"/>
      <c r="F125" s="993"/>
      <c r="G125" s="993"/>
      <c r="H125" s="993"/>
      <c r="I125" s="993"/>
      <c r="J125" s="994"/>
      <c r="K125" s="1045"/>
      <c r="L125" s="994"/>
      <c r="M125" s="1045"/>
      <c r="N125" s="994"/>
      <c r="O125" s="1045"/>
      <c r="P125" s="994"/>
      <c r="Q125" s="1045"/>
      <c r="R125" s="994"/>
      <c r="S125" s="1045"/>
      <c r="T125" s="994"/>
      <c r="U125" s="568"/>
      <c r="V125" s="568"/>
      <c r="W125" s="1072"/>
      <c r="X125" s="1073"/>
      <c r="Y125" s="1073"/>
      <c r="Z125" s="1074"/>
      <c r="AA125" s="569"/>
      <c r="AB125" s="568"/>
      <c r="AC125" s="565"/>
      <c r="AD125" s="569"/>
      <c r="AE125" s="1057"/>
      <c r="AF125" s="1058"/>
      <c r="AG125" s="1058"/>
      <c r="AH125" s="1058"/>
      <c r="AI125" s="1058"/>
      <c r="AJ125" s="1058"/>
      <c r="AK125" s="1058"/>
      <c r="AL125" s="1059"/>
      <c r="AM125" s="1057"/>
      <c r="AN125" s="1058"/>
      <c r="AO125" s="1058"/>
      <c r="AP125" s="1059"/>
      <c r="AQ125" s="1057"/>
      <c r="AR125" s="1058"/>
      <c r="AS125" s="1058"/>
      <c r="AT125" s="1058"/>
      <c r="AU125" s="1070"/>
      <c r="AV125" s="62"/>
    </row>
    <row r="126" spans="1:48" ht="2.25" customHeight="1">
      <c r="A126" s="995"/>
      <c r="B126" s="996"/>
      <c r="C126" s="996"/>
      <c r="D126" s="997"/>
      <c r="E126" s="1082"/>
      <c r="F126" s="996"/>
      <c r="G126" s="996"/>
      <c r="H126" s="996"/>
      <c r="I126" s="996"/>
      <c r="J126" s="997"/>
      <c r="K126" s="1082"/>
      <c r="L126" s="997"/>
      <c r="M126" s="1082"/>
      <c r="N126" s="997"/>
      <c r="O126" s="1082"/>
      <c r="P126" s="997"/>
      <c r="Q126" s="1082"/>
      <c r="R126" s="997"/>
      <c r="S126" s="1082"/>
      <c r="T126" s="997"/>
      <c r="U126" s="1075"/>
      <c r="V126" s="1076"/>
      <c r="W126" s="1076"/>
      <c r="X126" s="1076"/>
      <c r="Y126" s="1076"/>
      <c r="Z126" s="1076"/>
      <c r="AA126" s="1077"/>
      <c r="AB126" s="1075"/>
      <c r="AC126" s="1076"/>
      <c r="AD126" s="1077"/>
      <c r="AE126" s="1060"/>
      <c r="AF126" s="1061"/>
      <c r="AG126" s="1061"/>
      <c r="AH126" s="1061"/>
      <c r="AI126" s="1061"/>
      <c r="AJ126" s="1061"/>
      <c r="AK126" s="1061"/>
      <c r="AL126" s="1062"/>
      <c r="AM126" s="1060"/>
      <c r="AN126" s="1061"/>
      <c r="AO126" s="1061"/>
      <c r="AP126" s="1062"/>
      <c r="AQ126" s="1060"/>
      <c r="AR126" s="1061"/>
      <c r="AS126" s="1061"/>
      <c r="AT126" s="1061"/>
      <c r="AU126" s="1071"/>
      <c r="AV126" s="62"/>
    </row>
    <row r="127" spans="1:48" ht="2.25" customHeight="1">
      <c r="A127" s="989"/>
      <c r="B127" s="990"/>
      <c r="C127" s="990"/>
      <c r="D127" s="991"/>
      <c r="E127" s="1044"/>
      <c r="F127" s="990"/>
      <c r="G127" s="990"/>
      <c r="H127" s="990"/>
      <c r="I127" s="990"/>
      <c r="J127" s="991"/>
      <c r="K127" s="1044"/>
      <c r="L127" s="991"/>
      <c r="M127" s="1044"/>
      <c r="N127" s="991"/>
      <c r="O127" s="1044"/>
      <c r="P127" s="991"/>
      <c r="Q127" s="1044"/>
      <c r="R127" s="991"/>
      <c r="S127" s="1044"/>
      <c r="T127" s="991"/>
      <c r="U127" s="1063"/>
      <c r="V127" s="1064"/>
      <c r="W127" s="1064"/>
      <c r="X127" s="1064"/>
      <c r="Y127" s="1064"/>
      <c r="Z127" s="1064"/>
      <c r="AA127" s="1065"/>
      <c r="AB127" s="1063"/>
      <c r="AC127" s="1064"/>
      <c r="AD127" s="1065"/>
      <c r="AE127" s="1054"/>
      <c r="AF127" s="1055"/>
      <c r="AG127" s="1055"/>
      <c r="AH127" s="1055"/>
      <c r="AI127" s="1055"/>
      <c r="AJ127" s="1055"/>
      <c r="AK127" s="1055"/>
      <c r="AL127" s="1056"/>
      <c r="AM127" s="1054"/>
      <c r="AN127" s="1055"/>
      <c r="AO127" s="1055"/>
      <c r="AP127" s="1056"/>
      <c r="AQ127" s="1054"/>
      <c r="AR127" s="1055"/>
      <c r="AS127" s="1055"/>
      <c r="AT127" s="1055"/>
      <c r="AU127" s="1069"/>
      <c r="AV127" s="62"/>
    </row>
    <row r="128" spans="1:48" ht="14.25" customHeight="1">
      <c r="A128" s="992"/>
      <c r="B128" s="993"/>
      <c r="C128" s="993"/>
      <c r="D128" s="994"/>
      <c r="E128" s="1045"/>
      <c r="F128" s="993"/>
      <c r="G128" s="993"/>
      <c r="H128" s="993"/>
      <c r="I128" s="993"/>
      <c r="J128" s="994"/>
      <c r="K128" s="1045"/>
      <c r="L128" s="994"/>
      <c r="M128" s="1045"/>
      <c r="N128" s="994"/>
      <c r="O128" s="1045"/>
      <c r="P128" s="994"/>
      <c r="Q128" s="1045"/>
      <c r="R128" s="994"/>
      <c r="S128" s="1045"/>
      <c r="T128" s="994"/>
      <c r="U128" s="568"/>
      <c r="V128" s="568"/>
      <c r="W128" s="1072"/>
      <c r="X128" s="1073"/>
      <c r="Y128" s="1073"/>
      <c r="Z128" s="1074"/>
      <c r="AA128" s="569"/>
      <c r="AB128" s="568"/>
      <c r="AC128" s="565"/>
      <c r="AD128" s="569"/>
      <c r="AE128" s="1057"/>
      <c r="AF128" s="1058"/>
      <c r="AG128" s="1058"/>
      <c r="AH128" s="1058"/>
      <c r="AI128" s="1058"/>
      <c r="AJ128" s="1058"/>
      <c r="AK128" s="1058"/>
      <c r="AL128" s="1059"/>
      <c r="AM128" s="1057"/>
      <c r="AN128" s="1058"/>
      <c r="AO128" s="1058"/>
      <c r="AP128" s="1059"/>
      <c r="AQ128" s="1057"/>
      <c r="AR128" s="1058"/>
      <c r="AS128" s="1058"/>
      <c r="AT128" s="1058"/>
      <c r="AU128" s="1070"/>
      <c r="AV128" s="62"/>
    </row>
    <row r="129" spans="1:53" ht="2.25" customHeight="1" thickBot="1">
      <c r="A129" s="1052"/>
      <c r="B129" s="1053"/>
      <c r="C129" s="1053"/>
      <c r="D129" s="1047"/>
      <c r="E129" s="1046"/>
      <c r="F129" s="1053"/>
      <c r="G129" s="1053"/>
      <c r="H129" s="1053"/>
      <c r="I129" s="1053"/>
      <c r="J129" s="1047"/>
      <c r="K129" s="1046"/>
      <c r="L129" s="1047"/>
      <c r="M129" s="1046"/>
      <c r="N129" s="1047"/>
      <c r="O129" s="1046"/>
      <c r="P129" s="1047"/>
      <c r="Q129" s="1046"/>
      <c r="R129" s="1047"/>
      <c r="S129" s="1046"/>
      <c r="T129" s="1047"/>
      <c r="U129" s="1079"/>
      <c r="V129" s="1080"/>
      <c r="W129" s="1080"/>
      <c r="X129" s="1080"/>
      <c r="Y129" s="1080"/>
      <c r="Z129" s="1080"/>
      <c r="AA129" s="1081"/>
      <c r="AB129" s="1079"/>
      <c r="AC129" s="1080"/>
      <c r="AD129" s="1081"/>
      <c r="AE129" s="1066"/>
      <c r="AF129" s="1067"/>
      <c r="AG129" s="1067"/>
      <c r="AH129" s="1067"/>
      <c r="AI129" s="1067"/>
      <c r="AJ129" s="1067"/>
      <c r="AK129" s="1067"/>
      <c r="AL129" s="1068"/>
      <c r="AM129" s="1066"/>
      <c r="AN129" s="1067"/>
      <c r="AO129" s="1067"/>
      <c r="AP129" s="1068"/>
      <c r="AQ129" s="1066"/>
      <c r="AR129" s="1067"/>
      <c r="AS129" s="1067"/>
      <c r="AT129" s="1067"/>
      <c r="AU129" s="1078"/>
      <c r="AV129" s="62"/>
    </row>
    <row r="130" spans="1:53" ht="3" customHeight="1" thickBot="1">
      <c r="U130" s="63"/>
      <c r="V130" s="63"/>
      <c r="W130" s="63"/>
      <c r="X130" s="63"/>
      <c r="Y130" s="63"/>
      <c r="Z130" s="63"/>
      <c r="AA130" s="63"/>
      <c r="AB130" s="63"/>
      <c r="AC130" s="63"/>
      <c r="AD130" s="63"/>
    </row>
    <row r="131" spans="1:53" ht="16.5">
      <c r="A131" s="1038" t="str">
        <f>VLOOKUP("bestätigung lieferant",Translations!$A:$T,MATCH(Cover!DR19,Translations!A2:P2,0),0)</f>
        <v>Confirmation Supplier:</v>
      </c>
      <c r="B131" s="1039"/>
      <c r="C131" s="1039"/>
      <c r="D131" s="1039"/>
      <c r="E131" s="1039"/>
      <c r="F131" s="1039"/>
      <c r="G131" s="1039"/>
      <c r="H131" s="1039"/>
      <c r="I131" s="1039"/>
      <c r="J131" s="1039"/>
      <c r="K131" s="1039"/>
      <c r="L131" s="1039"/>
      <c r="M131" s="1039"/>
      <c r="N131" s="1039"/>
      <c r="O131" s="1039"/>
      <c r="P131" s="1039"/>
      <c r="Q131" s="1039"/>
      <c r="R131" s="1039"/>
      <c r="S131" s="1040"/>
      <c r="T131" s="1041" t="str">
        <f>Cover!B54</f>
        <v>Customer´s decision:</v>
      </c>
      <c r="U131" s="1042"/>
      <c r="V131" s="1042"/>
      <c r="W131" s="1042"/>
      <c r="X131" s="1042"/>
      <c r="Y131" s="1042"/>
      <c r="Z131" s="1042"/>
      <c r="AA131" s="1042"/>
      <c r="AB131" s="1042"/>
      <c r="AC131" s="1042"/>
      <c r="AD131" s="1042"/>
      <c r="AE131" s="1042"/>
      <c r="AF131" s="1042"/>
      <c r="AG131" s="1042"/>
      <c r="AH131" s="1042"/>
      <c r="AI131" s="1042"/>
      <c r="AJ131" s="1042"/>
      <c r="AK131" s="1042"/>
      <c r="AL131" s="1042"/>
      <c r="AM131" s="1042"/>
      <c r="AN131" s="1042"/>
      <c r="AO131" s="1042"/>
      <c r="AP131" s="1042"/>
      <c r="AQ131" s="1042"/>
      <c r="AR131" s="1042"/>
      <c r="AS131" s="1042"/>
      <c r="AT131" s="1042"/>
      <c r="AU131" s="1043"/>
    </row>
    <row r="132" spans="1:53" ht="9.75" customHeight="1">
      <c r="A132" s="418"/>
      <c r="B132" s="419"/>
      <c r="C132" s="419"/>
      <c r="D132" s="419"/>
      <c r="E132" s="419"/>
      <c r="F132" s="419"/>
      <c r="G132" s="419"/>
      <c r="H132" s="419"/>
      <c r="I132" s="419"/>
      <c r="J132" s="419"/>
      <c r="K132" s="419"/>
      <c r="L132" s="419"/>
      <c r="M132" s="419"/>
      <c r="N132" s="419"/>
      <c r="O132" s="419"/>
      <c r="P132" s="419"/>
      <c r="Q132" s="419"/>
      <c r="R132" s="419"/>
      <c r="S132" s="420"/>
      <c r="T132" s="1009" t="str">
        <f>VLOOKUP("freittttt",Translations!$A:$T,MATCH(Cover!DR19,Translations!A2:P2,0),0)</f>
        <v>Approved</v>
      </c>
      <c r="U132" s="1010"/>
      <c r="V132" s="1010"/>
      <c r="W132" s="1010"/>
      <c r="X132" s="1010"/>
      <c r="Y132" s="1010"/>
      <c r="Z132" s="1010"/>
      <c r="AA132" s="1010"/>
      <c r="AB132" s="1010"/>
      <c r="AC132" s="1010"/>
      <c r="AD132" s="1010"/>
      <c r="AE132" s="1010"/>
      <c r="AF132" s="1010"/>
      <c r="AG132" s="1010"/>
      <c r="AH132" s="1010"/>
      <c r="AI132" s="1010"/>
      <c r="AJ132" s="1010"/>
      <c r="AK132" s="1010"/>
      <c r="AL132" s="1010"/>
      <c r="AM132" s="1010"/>
      <c r="AN132" s="1010"/>
      <c r="AO132" s="1010"/>
      <c r="AP132" s="1011"/>
      <c r="AQ132" s="1018"/>
      <c r="AR132" s="1019"/>
      <c r="AS132" s="1019"/>
      <c r="AT132" s="1019"/>
      <c r="AU132" s="1020"/>
    </row>
    <row r="133" spans="1:53" ht="15.75" customHeight="1">
      <c r="A133" s="1012" t="str">
        <f>VLOOKUP("bemerkungen",Translations!$A:$T,MATCH(Cover!DR19,Translations!A2:P2,0),0)</f>
        <v>Comments:</v>
      </c>
      <c r="B133" s="1013"/>
      <c r="C133" s="1013"/>
      <c r="D133" s="1013"/>
      <c r="E133" s="1013"/>
      <c r="F133" s="1013"/>
      <c r="G133" s="1013"/>
      <c r="H133" s="998"/>
      <c r="I133" s="998"/>
      <c r="J133" s="998"/>
      <c r="K133" s="998"/>
      <c r="L133" s="998"/>
      <c r="M133" s="998"/>
      <c r="N133" s="998"/>
      <c r="O133" s="998"/>
      <c r="P133" s="998"/>
      <c r="Q133" s="998"/>
      <c r="R133" s="998"/>
      <c r="S133" s="999"/>
      <c r="T133" s="1012"/>
      <c r="U133" s="1013"/>
      <c r="V133" s="1013"/>
      <c r="W133" s="1013"/>
      <c r="X133" s="1013"/>
      <c r="Y133" s="1013"/>
      <c r="Z133" s="1013"/>
      <c r="AA133" s="1013"/>
      <c r="AB133" s="1013"/>
      <c r="AC133" s="1013"/>
      <c r="AD133" s="1013"/>
      <c r="AE133" s="1013"/>
      <c r="AF133" s="1013"/>
      <c r="AG133" s="1013"/>
      <c r="AH133" s="1013"/>
      <c r="AI133" s="1013"/>
      <c r="AJ133" s="1013"/>
      <c r="AK133" s="1013"/>
      <c r="AL133" s="1013"/>
      <c r="AM133" s="1013"/>
      <c r="AN133" s="1013"/>
      <c r="AO133" s="1013"/>
      <c r="AP133" s="1014"/>
      <c r="AQ133" s="1004"/>
      <c r="AR133" s="1027"/>
      <c r="AS133" s="565"/>
      <c r="AT133" s="1004"/>
      <c r="AU133" s="1005"/>
    </row>
    <row r="134" spans="1:53" ht="9.75" customHeight="1">
      <c r="A134" s="404"/>
      <c r="B134" s="405"/>
      <c r="C134" s="405"/>
      <c r="D134" s="405"/>
      <c r="E134" s="405"/>
      <c r="F134" s="405"/>
      <c r="G134" s="405"/>
      <c r="H134" s="998"/>
      <c r="I134" s="998"/>
      <c r="J134" s="998"/>
      <c r="K134" s="998"/>
      <c r="L134" s="998"/>
      <c r="M134" s="998"/>
      <c r="N134" s="998"/>
      <c r="O134" s="998"/>
      <c r="P134" s="998"/>
      <c r="Q134" s="998"/>
      <c r="R134" s="998"/>
      <c r="S134" s="999"/>
      <c r="T134" s="1015"/>
      <c r="U134" s="1016"/>
      <c r="V134" s="1016"/>
      <c r="W134" s="1016"/>
      <c r="X134" s="1016"/>
      <c r="Y134" s="1016"/>
      <c r="Z134" s="1016"/>
      <c r="AA134" s="1016"/>
      <c r="AB134" s="1016"/>
      <c r="AC134" s="1016"/>
      <c r="AD134" s="1016"/>
      <c r="AE134" s="1016"/>
      <c r="AF134" s="1016"/>
      <c r="AG134" s="1016"/>
      <c r="AH134" s="1016"/>
      <c r="AI134" s="1016"/>
      <c r="AJ134" s="1016"/>
      <c r="AK134" s="1016"/>
      <c r="AL134" s="1016"/>
      <c r="AM134" s="1016"/>
      <c r="AN134" s="1016"/>
      <c r="AO134" s="1016"/>
      <c r="AP134" s="1017"/>
      <c r="AQ134" s="1006"/>
      <c r="AR134" s="1007"/>
      <c r="AS134" s="1007"/>
      <c r="AT134" s="1007"/>
      <c r="AU134" s="1008"/>
    </row>
    <row r="135" spans="1:53" ht="9.75" customHeight="1">
      <c r="A135" s="404"/>
      <c r="B135" s="405"/>
      <c r="C135" s="405"/>
      <c r="D135" s="405"/>
      <c r="E135" s="405"/>
      <c r="F135" s="405"/>
      <c r="G135" s="405"/>
      <c r="H135" s="998"/>
      <c r="I135" s="998"/>
      <c r="J135" s="998"/>
      <c r="K135" s="998"/>
      <c r="L135" s="998"/>
      <c r="M135" s="998"/>
      <c r="N135" s="998"/>
      <c r="O135" s="998"/>
      <c r="P135" s="998"/>
      <c r="Q135" s="998"/>
      <c r="R135" s="998"/>
      <c r="S135" s="999"/>
      <c r="T135" s="1009" t="str">
        <f>VLOOKUP("abgelehnt",Translations!$A:$T,MATCH(Cover!DR19,Translations!A2:P2,0),0)</f>
        <v>Rejected  -  re-sampling required</v>
      </c>
      <c r="U135" s="1010"/>
      <c r="V135" s="1010"/>
      <c r="W135" s="1010"/>
      <c r="X135" s="1010"/>
      <c r="Y135" s="1010"/>
      <c r="Z135" s="1010"/>
      <c r="AA135" s="1010"/>
      <c r="AB135" s="1010"/>
      <c r="AC135" s="1010"/>
      <c r="AD135" s="1010"/>
      <c r="AE135" s="1010"/>
      <c r="AF135" s="1010"/>
      <c r="AG135" s="1010"/>
      <c r="AH135" s="1010"/>
      <c r="AI135" s="1010"/>
      <c r="AJ135" s="1010"/>
      <c r="AK135" s="1010"/>
      <c r="AL135" s="1010"/>
      <c r="AM135" s="1010"/>
      <c r="AN135" s="1010"/>
      <c r="AO135" s="1010"/>
      <c r="AP135" s="1011"/>
      <c r="AQ135" s="1018"/>
      <c r="AR135" s="1019"/>
      <c r="AS135" s="1019"/>
      <c r="AT135" s="1019"/>
      <c r="AU135" s="1020"/>
    </row>
    <row r="136" spans="1:53" ht="15.75" customHeight="1">
      <c r="A136" s="1021"/>
      <c r="B136" s="1022"/>
      <c r="C136" s="1022"/>
      <c r="D136" s="1022"/>
      <c r="E136" s="1022"/>
      <c r="F136" s="1022"/>
      <c r="G136" s="1022"/>
      <c r="H136" s="1022"/>
      <c r="I136" s="1022"/>
      <c r="J136" s="1022"/>
      <c r="K136" s="1022"/>
      <c r="L136" s="1022"/>
      <c r="M136" s="1022"/>
      <c r="N136" s="1022"/>
      <c r="O136" s="1022"/>
      <c r="P136" s="1022"/>
      <c r="Q136" s="1022"/>
      <c r="R136" s="1022"/>
      <c r="S136" s="1023"/>
      <c r="T136" s="1012"/>
      <c r="U136" s="1013"/>
      <c r="V136" s="1013"/>
      <c r="W136" s="1013"/>
      <c r="X136" s="1013"/>
      <c r="Y136" s="1013"/>
      <c r="Z136" s="1013"/>
      <c r="AA136" s="1013"/>
      <c r="AB136" s="1013"/>
      <c r="AC136" s="1013"/>
      <c r="AD136" s="1013"/>
      <c r="AE136" s="1013"/>
      <c r="AF136" s="1013"/>
      <c r="AG136" s="1013"/>
      <c r="AH136" s="1013"/>
      <c r="AI136" s="1013"/>
      <c r="AJ136" s="1013"/>
      <c r="AK136" s="1013"/>
      <c r="AL136" s="1013"/>
      <c r="AM136" s="1013"/>
      <c r="AN136" s="1013"/>
      <c r="AO136" s="1013"/>
      <c r="AP136" s="1014"/>
      <c r="AQ136" s="1004"/>
      <c r="AR136" s="1027"/>
      <c r="AS136" s="565"/>
      <c r="AT136" s="1004"/>
      <c r="AU136" s="1005"/>
    </row>
    <row r="137" spans="1:53" ht="9.75" customHeight="1">
      <c r="A137" s="1021"/>
      <c r="B137" s="1022"/>
      <c r="C137" s="1022"/>
      <c r="D137" s="1022"/>
      <c r="E137" s="1022"/>
      <c r="F137" s="1022"/>
      <c r="G137" s="1022"/>
      <c r="H137" s="1022"/>
      <c r="I137" s="1022"/>
      <c r="J137" s="1022"/>
      <c r="K137" s="1022"/>
      <c r="L137" s="1022"/>
      <c r="M137" s="1022"/>
      <c r="N137" s="1022"/>
      <c r="O137" s="1022"/>
      <c r="P137" s="1022"/>
      <c r="Q137" s="1022"/>
      <c r="R137" s="1022"/>
      <c r="S137" s="1023"/>
      <c r="T137" s="1015"/>
      <c r="U137" s="1016"/>
      <c r="V137" s="1016"/>
      <c r="W137" s="1016"/>
      <c r="X137" s="1016"/>
      <c r="Y137" s="1016"/>
      <c r="Z137" s="1016"/>
      <c r="AA137" s="1016"/>
      <c r="AB137" s="1016"/>
      <c r="AC137" s="1016"/>
      <c r="AD137" s="1016"/>
      <c r="AE137" s="1016"/>
      <c r="AF137" s="1016"/>
      <c r="AG137" s="1016"/>
      <c r="AH137" s="1016"/>
      <c r="AI137" s="1016"/>
      <c r="AJ137" s="1016"/>
      <c r="AK137" s="1016"/>
      <c r="AL137" s="1016"/>
      <c r="AM137" s="1016"/>
      <c r="AN137" s="1016"/>
      <c r="AO137" s="1016"/>
      <c r="AP137" s="1017"/>
      <c r="AQ137" s="1006"/>
      <c r="AR137" s="1007"/>
      <c r="AS137" s="1007"/>
      <c r="AT137" s="1007"/>
      <c r="AU137" s="1008"/>
    </row>
    <row r="138" spans="1:53" ht="16.5">
      <c r="A138" s="1021"/>
      <c r="B138" s="1022"/>
      <c r="C138" s="1022"/>
      <c r="D138" s="1022"/>
      <c r="E138" s="1022"/>
      <c r="F138" s="1022"/>
      <c r="G138" s="1022"/>
      <c r="H138" s="1022"/>
      <c r="I138" s="1022"/>
      <c r="J138" s="1022"/>
      <c r="K138" s="1022"/>
      <c r="L138" s="1022"/>
      <c r="M138" s="1022"/>
      <c r="N138" s="1022"/>
      <c r="O138" s="1022"/>
      <c r="P138" s="1022"/>
      <c r="Q138" s="1022"/>
      <c r="R138" s="1022"/>
      <c r="S138" s="1023"/>
      <c r="T138" s="1028" t="str">
        <f>VLOOKUP("bemerkungen",Translations!$A:$T,MATCH(Cover!DR19,Translations!A2:P2,0),0)</f>
        <v>Comments:</v>
      </c>
      <c r="U138" s="1029"/>
      <c r="V138" s="1029"/>
      <c r="W138" s="1029"/>
      <c r="X138" s="1029"/>
      <c r="Y138" s="1029"/>
      <c r="Z138" s="1029"/>
      <c r="AA138" s="1029"/>
      <c r="AB138" s="1029"/>
      <c r="AC138" s="1029"/>
      <c r="AD138" s="1029"/>
      <c r="AE138" s="1029"/>
      <c r="AF138" s="974"/>
      <c r="AG138" s="974"/>
      <c r="AH138" s="974"/>
      <c r="AI138" s="974"/>
      <c r="AJ138" s="974"/>
      <c r="AK138" s="974"/>
      <c r="AL138" s="974"/>
      <c r="AM138" s="974"/>
      <c r="AN138" s="974"/>
      <c r="AO138" s="974"/>
      <c r="AP138" s="974"/>
      <c r="AQ138" s="974"/>
      <c r="AR138" s="974"/>
      <c r="AS138" s="974"/>
      <c r="AT138" s="974"/>
      <c r="AU138" s="975"/>
    </row>
    <row r="139" spans="1:53" ht="12.75" customHeight="1">
      <c r="A139" s="1021"/>
      <c r="B139" s="1022"/>
      <c r="C139" s="1022"/>
      <c r="D139" s="1022"/>
      <c r="E139" s="1022"/>
      <c r="F139" s="1022"/>
      <c r="G139" s="1022"/>
      <c r="H139" s="1022"/>
      <c r="I139" s="1022"/>
      <c r="J139" s="1022"/>
      <c r="K139" s="1022"/>
      <c r="L139" s="1022"/>
      <c r="M139" s="1022"/>
      <c r="N139" s="1022"/>
      <c r="O139" s="1022"/>
      <c r="P139" s="1022"/>
      <c r="Q139" s="1022"/>
      <c r="R139" s="1022"/>
      <c r="S139" s="1023"/>
      <c r="T139" s="1021"/>
      <c r="U139" s="1022"/>
      <c r="V139" s="1022"/>
      <c r="W139" s="1022"/>
      <c r="X139" s="1022"/>
      <c r="Y139" s="1022"/>
      <c r="Z139" s="1022"/>
      <c r="AA139" s="1022"/>
      <c r="AB139" s="1022"/>
      <c r="AC139" s="1022"/>
      <c r="AD139" s="1022"/>
      <c r="AE139" s="1022"/>
      <c r="AF139" s="1022"/>
      <c r="AG139" s="1022"/>
      <c r="AH139" s="1022"/>
      <c r="AI139" s="1022"/>
      <c r="AJ139" s="1022"/>
      <c r="AK139" s="1022"/>
      <c r="AL139" s="1022"/>
      <c r="AM139" s="1022"/>
      <c r="AN139" s="1022"/>
      <c r="AO139" s="1022"/>
      <c r="AP139" s="1022"/>
      <c r="AQ139" s="1022"/>
      <c r="AR139" s="1022"/>
      <c r="AS139" s="1022"/>
      <c r="AT139" s="1022"/>
      <c r="AU139" s="1023"/>
    </row>
    <row r="140" spans="1:53" ht="11.25" customHeight="1">
      <c r="A140" s="1021"/>
      <c r="B140" s="1022"/>
      <c r="C140" s="1022"/>
      <c r="D140" s="1022"/>
      <c r="E140" s="1022"/>
      <c r="F140" s="1022"/>
      <c r="G140" s="1022"/>
      <c r="H140" s="1022"/>
      <c r="I140" s="1022"/>
      <c r="J140" s="1022"/>
      <c r="K140" s="1022"/>
      <c r="L140" s="1022"/>
      <c r="M140" s="1022"/>
      <c r="N140" s="1022"/>
      <c r="O140" s="1022"/>
      <c r="P140" s="1022"/>
      <c r="Q140" s="1022"/>
      <c r="R140" s="1022"/>
      <c r="S140" s="1023"/>
      <c r="T140" s="1021"/>
      <c r="U140" s="1022"/>
      <c r="V140" s="1022"/>
      <c r="W140" s="1022"/>
      <c r="X140" s="1022"/>
      <c r="Y140" s="1022"/>
      <c r="Z140" s="1022"/>
      <c r="AA140" s="1022"/>
      <c r="AB140" s="1022"/>
      <c r="AC140" s="1022"/>
      <c r="AD140" s="1022"/>
      <c r="AE140" s="1022"/>
      <c r="AF140" s="1022"/>
      <c r="AG140" s="1022"/>
      <c r="AH140" s="1022"/>
      <c r="AI140" s="1022"/>
      <c r="AJ140" s="1022"/>
      <c r="AK140" s="1022"/>
      <c r="AL140" s="1022"/>
      <c r="AM140" s="1022"/>
      <c r="AN140" s="1022"/>
      <c r="AO140" s="1022"/>
      <c r="AP140" s="1022"/>
      <c r="AQ140" s="1022"/>
      <c r="AR140" s="1022"/>
      <c r="AS140" s="1022"/>
      <c r="AT140" s="1022"/>
      <c r="AU140" s="1023"/>
    </row>
    <row r="141" spans="1:53" ht="13.5" customHeight="1" thickBot="1">
      <c r="A141" s="1024"/>
      <c r="B141" s="1025"/>
      <c r="C141" s="1025"/>
      <c r="D141" s="1025"/>
      <c r="E141" s="1025"/>
      <c r="F141" s="1025"/>
      <c r="G141" s="1025"/>
      <c r="H141" s="1025"/>
      <c r="I141" s="1025"/>
      <c r="J141" s="1025"/>
      <c r="K141" s="1025"/>
      <c r="L141" s="1025"/>
      <c r="M141" s="1025"/>
      <c r="N141" s="1025"/>
      <c r="O141" s="1025"/>
      <c r="P141" s="1025"/>
      <c r="Q141" s="1025"/>
      <c r="R141" s="1025"/>
      <c r="S141" s="1026"/>
      <c r="T141" s="1024"/>
      <c r="U141" s="1025"/>
      <c r="V141" s="1025"/>
      <c r="W141" s="1025"/>
      <c r="X141" s="1025"/>
      <c r="Y141" s="1025"/>
      <c r="Z141" s="1025"/>
      <c r="AA141" s="1025"/>
      <c r="AB141" s="1025"/>
      <c r="AC141" s="1025"/>
      <c r="AD141" s="1025"/>
      <c r="AE141" s="1025"/>
      <c r="AF141" s="1025"/>
      <c r="AG141" s="1025"/>
      <c r="AH141" s="1025"/>
      <c r="AI141" s="1025"/>
      <c r="AJ141" s="1025"/>
      <c r="AK141" s="1025"/>
      <c r="AL141" s="1025"/>
      <c r="AM141" s="1025"/>
      <c r="AN141" s="1025"/>
      <c r="AO141" s="1025"/>
      <c r="AP141" s="1025"/>
      <c r="AQ141" s="1025"/>
      <c r="AR141" s="1025"/>
      <c r="AS141" s="1025"/>
      <c r="AT141" s="1025"/>
      <c r="AU141" s="1026"/>
    </row>
    <row r="142" spans="1:53" ht="15.75" customHeight="1">
      <c r="A142" s="1048" t="str">
        <f>Content!A109</f>
        <v>Name:</v>
      </c>
      <c r="B142" s="1049"/>
      <c r="C142" s="1049"/>
      <c r="D142" s="1049"/>
      <c r="E142" s="1049"/>
      <c r="F142" s="1049"/>
      <c r="G142" s="908"/>
      <c r="H142" s="908"/>
      <c r="I142" s="908"/>
      <c r="J142" s="908"/>
      <c r="K142" s="908"/>
      <c r="L142" s="908"/>
      <c r="M142" s="908"/>
      <c r="N142" s="908"/>
      <c r="O142" s="908"/>
      <c r="P142" s="908"/>
      <c r="Q142" s="908"/>
      <c r="R142" s="908"/>
      <c r="S142" s="909"/>
      <c r="T142" s="1050" t="str">
        <f>A142</f>
        <v>Name:</v>
      </c>
      <c r="U142" s="1051"/>
      <c r="V142" s="1051"/>
      <c r="W142" s="1051"/>
      <c r="X142" s="1051"/>
      <c r="Y142" s="1051"/>
      <c r="Z142" s="1051"/>
      <c r="AA142" s="1051"/>
      <c r="AB142" s="908"/>
      <c r="AC142" s="908"/>
      <c r="AD142" s="908"/>
      <c r="AE142" s="908"/>
      <c r="AF142" s="908"/>
      <c r="AG142" s="908"/>
      <c r="AH142" s="908"/>
      <c r="AI142" s="908"/>
      <c r="AJ142" s="908"/>
      <c r="AK142" s="908"/>
      <c r="AL142" s="908"/>
      <c r="AM142" s="908"/>
      <c r="AN142" s="908"/>
      <c r="AO142" s="908"/>
      <c r="AP142" s="908"/>
      <c r="AQ142" s="908"/>
      <c r="AR142" s="908"/>
      <c r="AS142" s="908"/>
      <c r="AT142" s="908"/>
      <c r="AU142" s="909"/>
    </row>
    <row r="143" spans="1:53" ht="15.75" customHeight="1">
      <c r="A143" s="1036" t="str">
        <f>Content!A110</f>
        <v>Department:</v>
      </c>
      <c r="B143" s="1037"/>
      <c r="C143" s="1037"/>
      <c r="D143" s="1037"/>
      <c r="E143" s="1037"/>
      <c r="F143" s="1037"/>
      <c r="G143" s="1037"/>
      <c r="H143" s="878"/>
      <c r="I143" s="878"/>
      <c r="J143" s="878"/>
      <c r="K143" s="878"/>
      <c r="L143" s="878"/>
      <c r="M143" s="878"/>
      <c r="N143" s="878"/>
      <c r="O143" s="878"/>
      <c r="P143" s="878"/>
      <c r="Q143" s="878"/>
      <c r="R143" s="878"/>
      <c r="S143" s="879"/>
      <c r="T143" s="1034" t="str">
        <f>A143</f>
        <v>Department:</v>
      </c>
      <c r="U143" s="1035"/>
      <c r="V143" s="1035"/>
      <c r="W143" s="1035"/>
      <c r="X143" s="1035"/>
      <c r="Y143" s="1035"/>
      <c r="Z143" s="1035"/>
      <c r="AA143" s="1035"/>
      <c r="AB143" s="1035"/>
      <c r="AC143" s="1035"/>
      <c r="AD143" s="878"/>
      <c r="AE143" s="878"/>
      <c r="AF143" s="878"/>
      <c r="AG143" s="878"/>
      <c r="AH143" s="878"/>
      <c r="AI143" s="878"/>
      <c r="AJ143" s="878"/>
      <c r="AK143" s="878"/>
      <c r="AL143" s="878"/>
      <c r="AM143" s="878"/>
      <c r="AN143" s="878"/>
      <c r="AO143" s="878"/>
      <c r="AP143" s="878"/>
      <c r="AQ143" s="878"/>
      <c r="AR143" s="878"/>
      <c r="AS143" s="878"/>
      <c r="AT143" s="878"/>
      <c r="AU143" s="879"/>
    </row>
    <row r="144" spans="1:53" ht="15.75" customHeight="1">
      <c r="A144" s="1034" t="str">
        <f>Content!A111</f>
        <v>Phone:</v>
      </c>
      <c r="B144" s="1035"/>
      <c r="C144" s="1035"/>
      <c r="D144" s="1035"/>
      <c r="E144" s="1035"/>
      <c r="F144" s="1035"/>
      <c r="G144" s="878"/>
      <c r="H144" s="878"/>
      <c r="I144" s="878"/>
      <c r="J144" s="878"/>
      <c r="K144" s="878"/>
      <c r="L144" s="878"/>
      <c r="M144" s="878"/>
      <c r="N144" s="878"/>
      <c r="O144" s="878"/>
      <c r="P144" s="878"/>
      <c r="Q144" s="878"/>
      <c r="R144" s="878"/>
      <c r="S144" s="879"/>
      <c r="T144" s="1034" t="str">
        <f>A144</f>
        <v>Phone:</v>
      </c>
      <c r="U144" s="1035"/>
      <c r="V144" s="1035"/>
      <c r="W144" s="1035"/>
      <c r="X144" s="1035"/>
      <c r="Y144" s="1035"/>
      <c r="Z144" s="1035"/>
      <c r="AA144" s="1035"/>
      <c r="AB144" s="878"/>
      <c r="AC144" s="878"/>
      <c r="AD144" s="878"/>
      <c r="AE144" s="878"/>
      <c r="AF144" s="878"/>
      <c r="AG144" s="878"/>
      <c r="AH144" s="878"/>
      <c r="AI144" s="878"/>
      <c r="AJ144" s="878"/>
      <c r="AK144" s="878"/>
      <c r="AL144" s="878"/>
      <c r="AM144" s="878"/>
      <c r="AN144" s="878"/>
      <c r="AO144" s="878"/>
      <c r="AP144" s="878"/>
      <c r="AQ144" s="878"/>
      <c r="AR144" s="878"/>
      <c r="AS144" s="878"/>
      <c r="AT144" s="878"/>
      <c r="AU144" s="879"/>
      <c r="BA144" s="63"/>
    </row>
    <row r="145" spans="1:47" ht="15.75" customHeight="1">
      <c r="A145" s="1030" t="s">
        <v>72</v>
      </c>
      <c r="B145" s="1031"/>
      <c r="C145" s="1031"/>
      <c r="D145" s="1031"/>
      <c r="E145" s="1031"/>
      <c r="F145" s="1031"/>
      <c r="G145" s="878"/>
      <c r="H145" s="878"/>
      <c r="I145" s="878"/>
      <c r="J145" s="878"/>
      <c r="K145" s="878"/>
      <c r="L145" s="878"/>
      <c r="M145" s="878"/>
      <c r="N145" s="878"/>
      <c r="O145" s="878"/>
      <c r="P145" s="878"/>
      <c r="Q145" s="878"/>
      <c r="R145" s="878"/>
      <c r="S145" s="879"/>
      <c r="T145" s="1034" t="s">
        <v>72</v>
      </c>
      <c r="U145" s="1035"/>
      <c r="V145" s="1035"/>
      <c r="W145" s="1035"/>
      <c r="X145" s="1035"/>
      <c r="Y145" s="1035"/>
      <c r="Z145" s="1035"/>
      <c r="AA145" s="1035"/>
      <c r="AB145" s="878"/>
      <c r="AC145" s="878"/>
      <c r="AD145" s="878"/>
      <c r="AE145" s="878"/>
      <c r="AF145" s="878"/>
      <c r="AG145" s="878"/>
      <c r="AH145" s="878"/>
      <c r="AI145" s="878"/>
      <c r="AJ145" s="878"/>
      <c r="AK145" s="878"/>
      <c r="AL145" s="878"/>
      <c r="AM145" s="878"/>
      <c r="AN145" s="878"/>
      <c r="AO145" s="878"/>
      <c r="AP145" s="878"/>
      <c r="AQ145" s="878"/>
      <c r="AR145" s="878"/>
      <c r="AS145" s="878"/>
      <c r="AT145" s="878"/>
      <c r="AU145" s="879"/>
    </row>
    <row r="146" spans="1:47" ht="15.75" customHeight="1">
      <c r="A146" s="1030" t="s">
        <v>478</v>
      </c>
      <c r="B146" s="1031"/>
      <c r="C146" s="1031"/>
      <c r="D146" s="1031"/>
      <c r="E146" s="1031"/>
      <c r="F146" s="1031"/>
      <c r="G146" s="1032"/>
      <c r="H146" s="1032"/>
      <c r="I146" s="1032"/>
      <c r="J146" s="1032"/>
      <c r="K146" s="1032"/>
      <c r="L146" s="1032"/>
      <c r="M146" s="1032"/>
      <c r="N146" s="1032"/>
      <c r="O146" s="1032"/>
      <c r="P146" s="1032"/>
      <c r="Q146" s="1032"/>
      <c r="R146" s="1032"/>
      <c r="S146" s="1033"/>
      <c r="T146" s="1034" t="s">
        <v>478</v>
      </c>
      <c r="U146" s="1035"/>
      <c r="V146" s="1035"/>
      <c r="W146" s="1035"/>
      <c r="X146" s="1035"/>
      <c r="Y146" s="1035"/>
      <c r="Z146" s="1035"/>
      <c r="AA146" s="1035"/>
      <c r="AB146" s="878"/>
      <c r="AC146" s="878"/>
      <c r="AD146" s="878"/>
      <c r="AE146" s="878"/>
      <c r="AF146" s="878"/>
      <c r="AG146" s="878"/>
      <c r="AH146" s="878"/>
      <c r="AI146" s="878"/>
      <c r="AJ146" s="878"/>
      <c r="AK146" s="878"/>
      <c r="AL146" s="878"/>
      <c r="AM146" s="878"/>
      <c r="AN146" s="878"/>
      <c r="AO146" s="878"/>
      <c r="AP146" s="878"/>
      <c r="AQ146" s="878"/>
      <c r="AR146" s="878"/>
      <c r="AS146" s="878"/>
      <c r="AT146" s="878"/>
      <c r="AU146" s="879"/>
    </row>
    <row r="147" spans="1:47" ht="33" customHeight="1" thickBot="1">
      <c r="A147" s="1000" t="str">
        <f>Content!A114</f>
        <v>Date:</v>
      </c>
      <c r="B147" s="1001"/>
      <c r="C147" s="1001"/>
      <c r="D147" s="1001"/>
      <c r="E147" s="1001"/>
      <c r="F147" s="1001"/>
      <c r="G147" s="985"/>
      <c r="H147" s="986"/>
      <c r="I147" s="987" t="str">
        <f>Content!N114</f>
        <v>Signature:</v>
      </c>
      <c r="J147" s="987"/>
      <c r="K147" s="987"/>
      <c r="L147" s="987"/>
      <c r="M147" s="899"/>
      <c r="N147" s="899"/>
      <c r="O147" s="899"/>
      <c r="P147" s="899"/>
      <c r="Q147" s="899"/>
      <c r="R147" s="899"/>
      <c r="S147" s="988"/>
      <c r="T147" s="1002" t="str">
        <f>A147</f>
        <v>Date:</v>
      </c>
      <c r="U147" s="1003"/>
      <c r="V147" s="1003"/>
      <c r="W147" s="1003"/>
      <c r="X147" s="1003"/>
      <c r="Y147" s="1003"/>
      <c r="Z147" s="1003"/>
      <c r="AA147" s="1003"/>
      <c r="AB147" s="985"/>
      <c r="AC147" s="985"/>
      <c r="AD147" s="986"/>
      <c r="AE147" s="986"/>
      <c r="AF147" s="986"/>
      <c r="AG147" s="987" t="str">
        <f>[1]Content!N120</f>
        <v>Unterschrift:</v>
      </c>
      <c r="AH147" s="987"/>
      <c r="AI147" s="987"/>
      <c r="AJ147" s="987"/>
      <c r="AK147" s="899"/>
      <c r="AL147" s="899"/>
      <c r="AM147" s="899"/>
      <c r="AN147" s="899"/>
      <c r="AO147" s="899"/>
      <c r="AP147" s="899"/>
      <c r="AQ147" s="899"/>
      <c r="AR147" s="899"/>
      <c r="AS147" s="899"/>
      <c r="AT147" s="899"/>
      <c r="AU147" s="988"/>
    </row>
  </sheetData>
  <sheetProtection password="8A5F" sheet="1" scenarios="1" formatCells="0" formatColumns="0" formatRows="0" insertColumns="0" insertRows="0" deleteColumns="0" deleteRows="0" selectLockedCells="1"/>
  <mergeCells count="550">
    <mergeCell ref="L32:T32"/>
    <mergeCell ref="AI5:AL5"/>
    <mergeCell ref="O34:P34"/>
    <mergeCell ref="Z19:AU21"/>
    <mergeCell ref="Z22:AU24"/>
    <mergeCell ref="Z25:AU27"/>
    <mergeCell ref="Z7:AU9"/>
    <mergeCell ref="Z10:AU12"/>
    <mergeCell ref="Z13:AU15"/>
    <mergeCell ref="D22:T24"/>
    <mergeCell ref="D25:T27"/>
    <mergeCell ref="D28:T30"/>
    <mergeCell ref="V8:X8"/>
    <mergeCell ref="V11:X11"/>
    <mergeCell ref="V14:X14"/>
    <mergeCell ref="D13:T15"/>
    <mergeCell ref="D16:T18"/>
    <mergeCell ref="D19:T21"/>
    <mergeCell ref="AF34:AL34"/>
    <mergeCell ref="AP34:AU34"/>
    <mergeCell ref="V23:X23"/>
    <mergeCell ref="A38:G38"/>
    <mergeCell ref="A35:G35"/>
    <mergeCell ref="A36:G36"/>
    <mergeCell ref="A34:G34"/>
    <mergeCell ref="I33:T33"/>
    <mergeCell ref="H34:N34"/>
    <mergeCell ref="H35:T35"/>
    <mergeCell ref="H36:T36"/>
    <mergeCell ref="I37:T37"/>
    <mergeCell ref="H38:T38"/>
    <mergeCell ref="A33:H33"/>
    <mergeCell ref="AG37:AU37"/>
    <mergeCell ref="U36:AE36"/>
    <mergeCell ref="U33:AE33"/>
    <mergeCell ref="U34:AE34"/>
    <mergeCell ref="U35:AE35"/>
    <mergeCell ref="A2:AG4"/>
    <mergeCell ref="A37:H37"/>
    <mergeCell ref="AF5:AH5"/>
    <mergeCell ref="A32:K32"/>
    <mergeCell ref="F5:G5"/>
    <mergeCell ref="U32:AE32"/>
    <mergeCell ref="Z16:AU18"/>
    <mergeCell ref="Z28:AU30"/>
    <mergeCell ref="D7:T9"/>
    <mergeCell ref="D10:T12"/>
    <mergeCell ref="AM5:AO5"/>
    <mergeCell ref="AP5:AT5"/>
    <mergeCell ref="I5:J5"/>
    <mergeCell ref="V26:X26"/>
    <mergeCell ref="V29:X29"/>
    <mergeCell ref="K5:L5"/>
    <mergeCell ref="AF32:AU32"/>
    <mergeCell ref="V17:X17"/>
    <mergeCell ref="V20:X20"/>
    <mergeCell ref="U38:AE38"/>
    <mergeCell ref="Q34:T34"/>
    <mergeCell ref="AF33:AU33"/>
    <mergeCell ref="AF35:AU35"/>
    <mergeCell ref="AF36:AU36"/>
    <mergeCell ref="AF38:AU38"/>
    <mergeCell ref="U37:AF37"/>
    <mergeCell ref="AM34:AO34"/>
    <mergeCell ref="Q43:R45"/>
    <mergeCell ref="S43:T45"/>
    <mergeCell ref="W45:Z45"/>
    <mergeCell ref="AE43:AL45"/>
    <mergeCell ref="AM43:AP45"/>
    <mergeCell ref="AQ43:AU45"/>
    <mergeCell ref="AE40:AL42"/>
    <mergeCell ref="AM40:AP42"/>
    <mergeCell ref="AQ40:AU42"/>
    <mergeCell ref="K41:T41"/>
    <mergeCell ref="K42:L42"/>
    <mergeCell ref="M42:N42"/>
    <mergeCell ref="O42:P42"/>
    <mergeCell ref="Q42:R42"/>
    <mergeCell ref="S42:T42"/>
    <mergeCell ref="U42:AA42"/>
    <mergeCell ref="A43:D45"/>
    <mergeCell ref="E43:J45"/>
    <mergeCell ref="K43:L45"/>
    <mergeCell ref="M43:N45"/>
    <mergeCell ref="O43:P45"/>
    <mergeCell ref="K40:T40"/>
    <mergeCell ref="U40:AD41"/>
    <mergeCell ref="U43:AA43"/>
    <mergeCell ref="AB43:AB45"/>
    <mergeCell ref="AD43:AD45"/>
    <mergeCell ref="U44:V45"/>
    <mergeCell ref="W44:Z44"/>
    <mergeCell ref="AA44:AA45"/>
    <mergeCell ref="A40:D42"/>
    <mergeCell ref="E40:J42"/>
    <mergeCell ref="AB42:AD42"/>
    <mergeCell ref="AQ46:AU48"/>
    <mergeCell ref="W47:Z47"/>
    <mergeCell ref="U48:AA48"/>
    <mergeCell ref="AB48:AD48"/>
    <mergeCell ref="U46:AA46"/>
    <mergeCell ref="AB46:AD46"/>
    <mergeCell ref="AE46:AL48"/>
    <mergeCell ref="AM46:AP48"/>
    <mergeCell ref="Q46:R48"/>
    <mergeCell ref="S46:T48"/>
    <mergeCell ref="A46:D48"/>
    <mergeCell ref="E46:J48"/>
    <mergeCell ref="K46:L48"/>
    <mergeCell ref="M46:N48"/>
    <mergeCell ref="O46:P48"/>
    <mergeCell ref="A49:D51"/>
    <mergeCell ref="E49:J51"/>
    <mergeCell ref="K49:L51"/>
    <mergeCell ref="M49:N51"/>
    <mergeCell ref="O49:P51"/>
    <mergeCell ref="U49:AA49"/>
    <mergeCell ref="AB49:AD49"/>
    <mergeCell ref="AE49:AL51"/>
    <mergeCell ref="AM49:AP51"/>
    <mergeCell ref="AQ49:AU51"/>
    <mergeCell ref="W50:Z50"/>
    <mergeCell ref="U51:AA51"/>
    <mergeCell ref="AB51:AD51"/>
    <mergeCell ref="Q49:R51"/>
    <mergeCell ref="S49:T51"/>
    <mergeCell ref="AQ52:AU54"/>
    <mergeCell ref="W53:Z53"/>
    <mergeCell ref="U54:AA54"/>
    <mergeCell ref="AB54:AD54"/>
    <mergeCell ref="Q52:R54"/>
    <mergeCell ref="S52:T54"/>
    <mergeCell ref="A52:D54"/>
    <mergeCell ref="E52:J54"/>
    <mergeCell ref="K52:L54"/>
    <mergeCell ref="M52:N54"/>
    <mergeCell ref="O52:P54"/>
    <mergeCell ref="A55:D57"/>
    <mergeCell ref="E55:J57"/>
    <mergeCell ref="K55:L57"/>
    <mergeCell ref="M55:N57"/>
    <mergeCell ref="O55:P57"/>
    <mergeCell ref="U52:AA52"/>
    <mergeCell ref="AB52:AD52"/>
    <mergeCell ref="AE52:AL54"/>
    <mergeCell ref="AM52:AP54"/>
    <mergeCell ref="U55:AA55"/>
    <mergeCell ref="AB55:AD55"/>
    <mergeCell ref="AE55:AL57"/>
    <mergeCell ref="AM55:AP57"/>
    <mergeCell ref="AQ55:AU57"/>
    <mergeCell ref="W56:Z56"/>
    <mergeCell ref="U57:AA57"/>
    <mergeCell ref="AB57:AD57"/>
    <mergeCell ref="Q55:R57"/>
    <mergeCell ref="S55:T57"/>
    <mergeCell ref="AQ58:AU60"/>
    <mergeCell ref="W59:Z59"/>
    <mergeCell ref="U60:AA60"/>
    <mergeCell ref="AB60:AD60"/>
    <mergeCell ref="Q58:R60"/>
    <mergeCell ref="S58:T60"/>
    <mergeCell ref="U58:AA58"/>
    <mergeCell ref="AB58:AD58"/>
    <mergeCell ref="AE58:AL60"/>
    <mergeCell ref="AM58:AP60"/>
    <mergeCell ref="A58:D60"/>
    <mergeCell ref="E58:J60"/>
    <mergeCell ref="K58:L60"/>
    <mergeCell ref="M58:N60"/>
    <mergeCell ref="O58:P60"/>
    <mergeCell ref="A61:D63"/>
    <mergeCell ref="E61:J63"/>
    <mergeCell ref="K61:L63"/>
    <mergeCell ref="M61:N63"/>
    <mergeCell ref="O61:P63"/>
    <mergeCell ref="U61:AA61"/>
    <mergeCell ref="AB61:AD61"/>
    <mergeCell ref="AE61:AL63"/>
    <mergeCell ref="AM61:AP63"/>
    <mergeCell ref="AQ61:AU63"/>
    <mergeCell ref="W62:Z62"/>
    <mergeCell ref="U63:AA63"/>
    <mergeCell ref="AB63:AD63"/>
    <mergeCell ref="Q61:R63"/>
    <mergeCell ref="S61:T63"/>
    <mergeCell ref="AQ64:AU66"/>
    <mergeCell ref="W65:Z65"/>
    <mergeCell ref="U66:AA66"/>
    <mergeCell ref="AB66:AD66"/>
    <mergeCell ref="Q64:R66"/>
    <mergeCell ref="S64:T66"/>
    <mergeCell ref="A64:D66"/>
    <mergeCell ref="E64:J66"/>
    <mergeCell ref="K64:L66"/>
    <mergeCell ref="M64:N66"/>
    <mergeCell ref="O64:P66"/>
    <mergeCell ref="A67:D69"/>
    <mergeCell ref="E67:J69"/>
    <mergeCell ref="K67:L69"/>
    <mergeCell ref="M67:N69"/>
    <mergeCell ref="O67:P69"/>
    <mergeCell ref="U64:AA64"/>
    <mergeCell ref="AB64:AD64"/>
    <mergeCell ref="AE64:AL66"/>
    <mergeCell ref="AM64:AP66"/>
    <mergeCell ref="U67:AA67"/>
    <mergeCell ref="AB67:AD67"/>
    <mergeCell ref="AE67:AL69"/>
    <mergeCell ref="AM67:AP69"/>
    <mergeCell ref="AQ67:AU69"/>
    <mergeCell ref="W68:Z68"/>
    <mergeCell ref="U69:AA69"/>
    <mergeCell ref="AB69:AD69"/>
    <mergeCell ref="Q67:R69"/>
    <mergeCell ref="S67:T69"/>
    <mergeCell ref="AQ70:AU72"/>
    <mergeCell ref="W71:Z71"/>
    <mergeCell ref="U72:AA72"/>
    <mergeCell ref="AB72:AD72"/>
    <mergeCell ref="Q70:R72"/>
    <mergeCell ref="S70:T72"/>
    <mergeCell ref="U70:AA70"/>
    <mergeCell ref="AB70:AD70"/>
    <mergeCell ref="AE70:AL72"/>
    <mergeCell ref="AM70:AP72"/>
    <mergeCell ref="A70:D72"/>
    <mergeCell ref="E70:J72"/>
    <mergeCell ref="K70:L72"/>
    <mergeCell ref="M70:N72"/>
    <mergeCell ref="O70:P72"/>
    <mergeCell ref="A73:D75"/>
    <mergeCell ref="E73:J75"/>
    <mergeCell ref="K73:L75"/>
    <mergeCell ref="M73:N75"/>
    <mergeCell ref="O73:P75"/>
    <mergeCell ref="U73:AA73"/>
    <mergeCell ref="AB73:AD73"/>
    <mergeCell ref="AE73:AL75"/>
    <mergeCell ref="AM73:AP75"/>
    <mergeCell ref="AQ73:AU75"/>
    <mergeCell ref="W74:Z74"/>
    <mergeCell ref="U75:AA75"/>
    <mergeCell ref="AB75:AD75"/>
    <mergeCell ref="Q73:R75"/>
    <mergeCell ref="S73:T75"/>
    <mergeCell ref="AQ76:AU78"/>
    <mergeCell ref="W77:Z77"/>
    <mergeCell ref="U78:AA78"/>
    <mergeCell ref="AB78:AD78"/>
    <mergeCell ref="Q76:R78"/>
    <mergeCell ref="S76:T78"/>
    <mergeCell ref="A76:D78"/>
    <mergeCell ref="E76:J78"/>
    <mergeCell ref="K76:L78"/>
    <mergeCell ref="M76:N78"/>
    <mergeCell ref="O76:P78"/>
    <mergeCell ref="A79:D81"/>
    <mergeCell ref="E79:J81"/>
    <mergeCell ref="K79:L81"/>
    <mergeCell ref="M79:N81"/>
    <mergeCell ref="O79:P81"/>
    <mergeCell ref="U76:AA76"/>
    <mergeCell ref="AB76:AD76"/>
    <mergeCell ref="AE76:AL78"/>
    <mergeCell ref="AM76:AP78"/>
    <mergeCell ref="U79:AA79"/>
    <mergeCell ref="AB79:AD79"/>
    <mergeCell ref="AE79:AL81"/>
    <mergeCell ref="AM79:AP81"/>
    <mergeCell ref="AQ79:AU81"/>
    <mergeCell ref="W80:Z80"/>
    <mergeCell ref="U81:AA81"/>
    <mergeCell ref="AB81:AD81"/>
    <mergeCell ref="Q79:R81"/>
    <mergeCell ref="S79:T81"/>
    <mergeCell ref="AQ82:AU84"/>
    <mergeCell ref="W83:Z83"/>
    <mergeCell ref="U84:AA84"/>
    <mergeCell ref="AB84:AD84"/>
    <mergeCell ref="Q82:R84"/>
    <mergeCell ref="S82:T84"/>
    <mergeCell ref="U82:AA82"/>
    <mergeCell ref="AB82:AD82"/>
    <mergeCell ref="AE82:AL84"/>
    <mergeCell ref="AM82:AP84"/>
    <mergeCell ref="A82:D84"/>
    <mergeCell ref="E82:J84"/>
    <mergeCell ref="K82:L84"/>
    <mergeCell ref="M82:N84"/>
    <mergeCell ref="O82:P84"/>
    <mergeCell ref="A85:D87"/>
    <mergeCell ref="E85:J87"/>
    <mergeCell ref="K85:L87"/>
    <mergeCell ref="M85:N87"/>
    <mergeCell ref="O85:P87"/>
    <mergeCell ref="U85:AA85"/>
    <mergeCell ref="AB85:AD85"/>
    <mergeCell ref="AE85:AL87"/>
    <mergeCell ref="AM85:AP87"/>
    <mergeCell ref="AQ85:AU87"/>
    <mergeCell ref="W86:Z86"/>
    <mergeCell ref="U87:AA87"/>
    <mergeCell ref="AB87:AD87"/>
    <mergeCell ref="Q85:R87"/>
    <mergeCell ref="S85:T87"/>
    <mergeCell ref="AQ88:AU90"/>
    <mergeCell ref="W89:Z89"/>
    <mergeCell ref="U90:AA90"/>
    <mergeCell ref="AB90:AD90"/>
    <mergeCell ref="Q88:R90"/>
    <mergeCell ref="S88:T90"/>
    <mergeCell ref="A88:D90"/>
    <mergeCell ref="E88:J90"/>
    <mergeCell ref="K88:L90"/>
    <mergeCell ref="M88:N90"/>
    <mergeCell ref="O88:P90"/>
    <mergeCell ref="A91:D93"/>
    <mergeCell ref="E91:J93"/>
    <mergeCell ref="K91:L93"/>
    <mergeCell ref="M91:N93"/>
    <mergeCell ref="O91:P93"/>
    <mergeCell ref="U88:AA88"/>
    <mergeCell ref="AB88:AD88"/>
    <mergeCell ref="AE88:AL90"/>
    <mergeCell ref="AM88:AP90"/>
    <mergeCell ref="U91:AA91"/>
    <mergeCell ref="AB91:AD91"/>
    <mergeCell ref="AE91:AL93"/>
    <mergeCell ref="AM91:AP93"/>
    <mergeCell ref="AQ91:AU93"/>
    <mergeCell ref="W92:Z92"/>
    <mergeCell ref="U93:AA93"/>
    <mergeCell ref="AB93:AD93"/>
    <mergeCell ref="Q91:R93"/>
    <mergeCell ref="S91:T93"/>
    <mergeCell ref="AQ94:AU96"/>
    <mergeCell ref="W95:Z95"/>
    <mergeCell ref="U96:AA96"/>
    <mergeCell ref="AB96:AD96"/>
    <mergeCell ref="Q94:R96"/>
    <mergeCell ref="S94:T96"/>
    <mergeCell ref="U94:AA94"/>
    <mergeCell ref="AB94:AD94"/>
    <mergeCell ref="AE94:AL96"/>
    <mergeCell ref="AM94:AP96"/>
    <mergeCell ref="A94:D96"/>
    <mergeCell ref="E94:J96"/>
    <mergeCell ref="K94:L96"/>
    <mergeCell ref="M94:N96"/>
    <mergeCell ref="O94:P96"/>
    <mergeCell ref="A97:D99"/>
    <mergeCell ref="E97:J99"/>
    <mergeCell ref="K97:L99"/>
    <mergeCell ref="M97:N99"/>
    <mergeCell ref="O97:P99"/>
    <mergeCell ref="U97:AA97"/>
    <mergeCell ref="AB97:AD97"/>
    <mergeCell ref="AE97:AL99"/>
    <mergeCell ref="AM97:AP99"/>
    <mergeCell ref="AQ97:AU99"/>
    <mergeCell ref="W98:Z98"/>
    <mergeCell ref="U99:AA99"/>
    <mergeCell ref="AB99:AD99"/>
    <mergeCell ref="Q97:R99"/>
    <mergeCell ref="S97:T99"/>
    <mergeCell ref="AQ100:AU102"/>
    <mergeCell ref="W101:Z101"/>
    <mergeCell ref="U102:AA102"/>
    <mergeCell ref="AB102:AD102"/>
    <mergeCell ref="Q100:R102"/>
    <mergeCell ref="S100:T102"/>
    <mergeCell ref="A100:D102"/>
    <mergeCell ref="E100:J102"/>
    <mergeCell ref="K100:L102"/>
    <mergeCell ref="M100:N102"/>
    <mergeCell ref="O100:P102"/>
    <mergeCell ref="A103:D105"/>
    <mergeCell ref="E103:J105"/>
    <mergeCell ref="K103:L105"/>
    <mergeCell ref="M103:N105"/>
    <mergeCell ref="O103:P105"/>
    <mergeCell ref="U100:AA100"/>
    <mergeCell ref="AB100:AD100"/>
    <mergeCell ref="AE100:AL102"/>
    <mergeCell ref="AM100:AP102"/>
    <mergeCell ref="U103:AA103"/>
    <mergeCell ref="AB103:AD103"/>
    <mergeCell ref="AE103:AL105"/>
    <mergeCell ref="AM103:AP105"/>
    <mergeCell ref="AQ103:AU105"/>
    <mergeCell ref="W104:Z104"/>
    <mergeCell ref="U105:AA105"/>
    <mergeCell ref="AB105:AD105"/>
    <mergeCell ref="Q103:R105"/>
    <mergeCell ref="S103:T105"/>
    <mergeCell ref="AQ109:AU111"/>
    <mergeCell ref="W110:Z110"/>
    <mergeCell ref="A109:D111"/>
    <mergeCell ref="E109:J111"/>
    <mergeCell ref="K109:L111"/>
    <mergeCell ref="M109:N111"/>
    <mergeCell ref="O109:P111"/>
    <mergeCell ref="Q106:R108"/>
    <mergeCell ref="S106:T108"/>
    <mergeCell ref="AE106:AL108"/>
    <mergeCell ref="AM106:AP108"/>
    <mergeCell ref="AQ106:AU108"/>
    <mergeCell ref="W107:Z107"/>
    <mergeCell ref="A106:D108"/>
    <mergeCell ref="E106:J108"/>
    <mergeCell ref="K106:L108"/>
    <mergeCell ref="M106:N108"/>
    <mergeCell ref="O106:P108"/>
    <mergeCell ref="A112:D114"/>
    <mergeCell ref="E112:J114"/>
    <mergeCell ref="K112:L114"/>
    <mergeCell ref="M112:N114"/>
    <mergeCell ref="O112:P114"/>
    <mergeCell ref="Q109:R111"/>
    <mergeCell ref="S109:T111"/>
    <mergeCell ref="AE109:AL111"/>
    <mergeCell ref="AM109:AP111"/>
    <mergeCell ref="U112:AA112"/>
    <mergeCell ref="AB112:AD112"/>
    <mergeCell ref="AE112:AL114"/>
    <mergeCell ref="AM112:AP114"/>
    <mergeCell ref="AQ112:AU114"/>
    <mergeCell ref="W113:Z113"/>
    <mergeCell ref="U114:AA114"/>
    <mergeCell ref="AB114:AD114"/>
    <mergeCell ref="Q112:R114"/>
    <mergeCell ref="S112:T114"/>
    <mergeCell ref="S115:T117"/>
    <mergeCell ref="AE115:AL117"/>
    <mergeCell ref="AM115:AP117"/>
    <mergeCell ref="AQ115:AU117"/>
    <mergeCell ref="W116:Z116"/>
    <mergeCell ref="E115:J117"/>
    <mergeCell ref="K115:L117"/>
    <mergeCell ref="M115:N117"/>
    <mergeCell ref="O115:P117"/>
    <mergeCell ref="Q115:R117"/>
    <mergeCell ref="AQ118:AU120"/>
    <mergeCell ref="W119:Z119"/>
    <mergeCell ref="U120:AA120"/>
    <mergeCell ref="AB120:AD120"/>
    <mergeCell ref="Q118:R120"/>
    <mergeCell ref="S118:T120"/>
    <mergeCell ref="U118:AA118"/>
    <mergeCell ref="AB118:AD118"/>
    <mergeCell ref="AE118:AL120"/>
    <mergeCell ref="AM118:AP120"/>
    <mergeCell ref="AE121:AL123"/>
    <mergeCell ref="AM121:AP123"/>
    <mergeCell ref="AQ121:AU123"/>
    <mergeCell ref="W122:Z122"/>
    <mergeCell ref="U123:AA123"/>
    <mergeCell ref="AB123:AD123"/>
    <mergeCell ref="Q121:R123"/>
    <mergeCell ref="S121:T123"/>
    <mergeCell ref="A118:D120"/>
    <mergeCell ref="E118:J120"/>
    <mergeCell ref="K118:L120"/>
    <mergeCell ref="M118:N120"/>
    <mergeCell ref="O118:P120"/>
    <mergeCell ref="A121:D123"/>
    <mergeCell ref="E121:J123"/>
    <mergeCell ref="K121:L123"/>
    <mergeCell ref="M121:N123"/>
    <mergeCell ref="O121:P123"/>
    <mergeCell ref="Q124:R126"/>
    <mergeCell ref="S124:T126"/>
    <mergeCell ref="A124:D126"/>
    <mergeCell ref="E124:J126"/>
    <mergeCell ref="K124:L126"/>
    <mergeCell ref="M124:N126"/>
    <mergeCell ref="O124:P126"/>
    <mergeCell ref="U121:AA121"/>
    <mergeCell ref="AB121:AD121"/>
    <mergeCell ref="U124:AA124"/>
    <mergeCell ref="AB124:AD124"/>
    <mergeCell ref="AE124:AL126"/>
    <mergeCell ref="AM124:AP126"/>
    <mergeCell ref="U127:AA127"/>
    <mergeCell ref="AB127:AD127"/>
    <mergeCell ref="AE127:AL129"/>
    <mergeCell ref="AM127:AP129"/>
    <mergeCell ref="AQ124:AU126"/>
    <mergeCell ref="W125:Z125"/>
    <mergeCell ref="U126:AA126"/>
    <mergeCell ref="AB126:AD126"/>
    <mergeCell ref="AQ127:AU129"/>
    <mergeCell ref="W128:Z128"/>
    <mergeCell ref="U129:AA129"/>
    <mergeCell ref="AB129:AD129"/>
    <mergeCell ref="Q127:R129"/>
    <mergeCell ref="S127:T129"/>
    <mergeCell ref="A142:F142"/>
    <mergeCell ref="G142:S142"/>
    <mergeCell ref="T142:AA142"/>
    <mergeCell ref="AB142:AU142"/>
    <mergeCell ref="A127:D129"/>
    <mergeCell ref="E127:J129"/>
    <mergeCell ref="K127:L129"/>
    <mergeCell ref="M127:N129"/>
    <mergeCell ref="O127:P129"/>
    <mergeCell ref="A143:G143"/>
    <mergeCell ref="H143:S143"/>
    <mergeCell ref="T143:AC143"/>
    <mergeCell ref="AD143:AU143"/>
    <mergeCell ref="A131:S131"/>
    <mergeCell ref="T131:AU131"/>
    <mergeCell ref="T132:AP134"/>
    <mergeCell ref="AQ132:AU132"/>
    <mergeCell ref="A133:G133"/>
    <mergeCell ref="AQ133:AR133"/>
    <mergeCell ref="AB146:AU146"/>
    <mergeCell ref="A144:F144"/>
    <mergeCell ref="G144:S144"/>
    <mergeCell ref="T144:AA144"/>
    <mergeCell ref="AB144:AU144"/>
    <mergeCell ref="A145:F145"/>
    <mergeCell ref="G145:S145"/>
    <mergeCell ref="T145:AA145"/>
    <mergeCell ref="AB145:AU145"/>
    <mergeCell ref="AB147:AF147"/>
    <mergeCell ref="AG147:AJ147"/>
    <mergeCell ref="AK147:AU147"/>
    <mergeCell ref="A115:D117"/>
    <mergeCell ref="H133:S135"/>
    <mergeCell ref="A147:F147"/>
    <mergeCell ref="G147:H147"/>
    <mergeCell ref="I147:L147"/>
    <mergeCell ref="M147:S147"/>
    <mergeCell ref="T147:AA147"/>
    <mergeCell ref="AT133:AU133"/>
    <mergeCell ref="AQ134:AU134"/>
    <mergeCell ref="T135:AP137"/>
    <mergeCell ref="AQ135:AU135"/>
    <mergeCell ref="A136:S141"/>
    <mergeCell ref="AQ136:AR136"/>
    <mergeCell ref="AT136:AU136"/>
    <mergeCell ref="AQ137:AU137"/>
    <mergeCell ref="T138:AE138"/>
    <mergeCell ref="AF138:AU138"/>
    <mergeCell ref="T139:AU141"/>
    <mergeCell ref="A146:F146"/>
    <mergeCell ref="G146:S146"/>
    <mergeCell ref="T146:AA146"/>
  </mergeCells>
  <phoneticPr fontId="40" type="noConversion"/>
  <printOptions horizontalCentered="1"/>
  <pageMargins left="0.6692913385826772" right="0.47244094488188981" top="0.35433070866141736" bottom="0.31496062992125984" header="0.15748031496062992" footer="0.19685039370078741"/>
  <pageSetup paperSize="9" scale="68" orientation="portrait" r:id="rId1"/>
  <headerFooter>
    <oddHeader>&amp;R&amp;G</oddHeader>
    <oddFooter>&amp;LMHG-PU-F-0019&amp;CPPA-Template ; Rev.: 01/2019&amp;RJ.-U. Liedtke / PU-SD-GA</oddFooter>
  </headerFooter>
  <ignoredErrors>
    <ignoredError sqref="L32 I33 H34:H35 H36 I37 H38 AF32" unlockedFormula="1"/>
  </ignoredErrors>
  <legacyDrawingHF r:id="rId2"/>
  <extLst>
    <ext xmlns:mx="http://schemas.microsoft.com/office/mac/excel/2008/main" uri="{64002731-A6B0-56B0-2670-7721B7C09600}">
      <mx:PLV Mode="1"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pageSetUpPr fitToPage="1"/>
  </sheetPr>
  <dimension ref="A1:BU193"/>
  <sheetViews>
    <sheetView showGridLines="0" zoomScaleNormal="100" workbookViewId="0">
      <selection activeCell="K59" sqref="K59:M59"/>
    </sheetView>
  </sheetViews>
  <sheetFormatPr baseColWidth="10" defaultColWidth="9.140625" defaultRowHeight="12.75"/>
  <cols>
    <col min="1" max="1" width="0.7109375" style="24" customWidth="1"/>
    <col min="2" max="2" width="3" style="24" customWidth="1"/>
    <col min="3" max="3" width="0.7109375" style="24" customWidth="1"/>
    <col min="4" max="4" width="3" style="24" customWidth="1"/>
    <col min="5" max="5" width="4.85546875" style="24" customWidth="1"/>
    <col min="6" max="6" width="6.7109375" style="24" customWidth="1"/>
    <col min="7" max="7" width="8.28515625" style="24" customWidth="1"/>
    <col min="8" max="9" width="3.42578125" style="24" customWidth="1"/>
    <col min="10" max="10" width="4" style="24" customWidth="1"/>
    <col min="11" max="11" width="5" style="24" customWidth="1"/>
    <col min="12" max="13" width="3.85546875" style="24" customWidth="1"/>
    <col min="14" max="15" width="3.42578125" style="24" customWidth="1"/>
    <col min="16" max="16" width="3.7109375" style="24" customWidth="1"/>
    <col min="17" max="17" width="2.7109375" style="24" customWidth="1"/>
    <col min="18" max="18" width="0.7109375" style="24" customWidth="1"/>
    <col min="19" max="19" width="3" style="24" customWidth="1"/>
    <col min="20" max="20" width="0.7109375" style="24" customWidth="1"/>
    <col min="21" max="21" width="3.7109375" style="24" customWidth="1"/>
    <col min="22" max="22" width="3.85546875" style="24" customWidth="1"/>
    <col min="23" max="25" width="3.42578125" style="24" customWidth="1"/>
    <col min="26" max="26" width="3.7109375" style="24" customWidth="1"/>
    <col min="27" max="31" width="3.42578125" style="24" customWidth="1"/>
    <col min="32" max="32" width="2.42578125" style="24" customWidth="1"/>
    <col min="33" max="40" width="3.42578125" style="24" customWidth="1"/>
    <col min="41" max="16384" width="9.140625" style="24"/>
  </cols>
  <sheetData>
    <row r="1" spans="1:73" ht="9" customHeight="1">
      <c r="AO1" s="266"/>
      <c r="AP1" s="266"/>
      <c r="AQ1" s="266"/>
      <c r="AR1" s="266"/>
      <c r="AS1" s="266"/>
      <c r="AT1" s="266"/>
      <c r="AU1" s="266"/>
      <c r="AV1" s="266"/>
      <c r="AW1" s="266"/>
      <c r="AX1" s="266"/>
      <c r="AY1" s="266"/>
      <c r="AZ1" s="266"/>
      <c r="BA1" s="266"/>
      <c r="BB1" s="266"/>
      <c r="BC1" s="266"/>
      <c r="BD1" s="266"/>
      <c r="BE1" s="266"/>
      <c r="BF1" s="266"/>
      <c r="BG1" s="266"/>
      <c r="BH1" s="266"/>
      <c r="BI1" s="266"/>
      <c r="BJ1" s="266"/>
      <c r="BK1" s="266"/>
      <c r="BL1" s="266"/>
      <c r="BM1" s="266"/>
      <c r="BN1" s="266"/>
      <c r="BO1" s="266"/>
      <c r="BP1" s="266"/>
      <c r="BQ1" s="266"/>
      <c r="BR1" s="266"/>
      <c r="BS1" s="266"/>
      <c r="BT1" s="266"/>
      <c r="BU1" s="266"/>
    </row>
    <row r="2" spans="1:73" ht="12.75" customHeight="1">
      <c r="A2" s="912" t="str">
        <f>VLOOKUP("prozessbezogene und sonstige dokumente",Translations!$A:$T,MATCH(Cover!DR19,Translations!A2:P2,0),0)</f>
        <v>Process-related and other documents</v>
      </c>
      <c r="B2" s="912"/>
      <c r="C2" s="912"/>
      <c r="D2" s="912"/>
      <c r="E2" s="912"/>
      <c r="F2" s="912"/>
      <c r="G2" s="912"/>
      <c r="H2" s="912"/>
      <c r="I2" s="912"/>
      <c r="J2" s="912"/>
      <c r="K2" s="912"/>
      <c r="L2" s="912"/>
      <c r="M2" s="912"/>
      <c r="N2" s="912"/>
      <c r="O2" s="912"/>
      <c r="P2" s="912"/>
      <c r="Q2" s="912"/>
      <c r="R2" s="912"/>
      <c r="S2" s="912"/>
      <c r="T2" s="912"/>
      <c r="U2" s="912"/>
      <c r="V2" s="912"/>
      <c r="W2" s="912"/>
      <c r="X2" s="912"/>
      <c r="Y2" s="912"/>
      <c r="Z2" s="912"/>
      <c r="AA2" s="912"/>
      <c r="AB2" s="912"/>
      <c r="AC2" s="912"/>
      <c r="AD2" s="912"/>
      <c r="AE2" s="912"/>
      <c r="AF2" s="912"/>
      <c r="AG2" s="912"/>
      <c r="AH2" s="912"/>
      <c r="AO2" s="266"/>
      <c r="AP2" s="266"/>
      <c r="AQ2" s="266"/>
      <c r="AR2" s="266"/>
      <c r="AS2" s="266"/>
      <c r="AT2" s="266"/>
      <c r="AU2" s="266"/>
      <c r="AV2" s="266"/>
      <c r="AW2" s="266"/>
      <c r="AX2" s="266"/>
      <c r="AY2" s="266"/>
      <c r="AZ2" s="266"/>
      <c r="BA2" s="266"/>
      <c r="BB2" s="266"/>
      <c r="BC2" s="266"/>
      <c r="BD2" s="266"/>
      <c r="BE2" s="266"/>
      <c r="BF2" s="266"/>
      <c r="BG2" s="266"/>
      <c r="BH2" s="266"/>
      <c r="BI2" s="266"/>
      <c r="BJ2" s="266"/>
      <c r="BK2" s="266"/>
      <c r="BL2" s="266"/>
      <c r="BM2" s="266"/>
      <c r="BN2" s="266"/>
      <c r="BO2" s="266"/>
      <c r="BP2" s="266"/>
      <c r="BQ2" s="266"/>
      <c r="BR2" s="266"/>
      <c r="BS2" s="266"/>
      <c r="BT2" s="266"/>
      <c r="BU2" s="266"/>
    </row>
    <row r="3" spans="1:73" ht="12.75" customHeight="1">
      <c r="A3" s="912"/>
      <c r="B3" s="912"/>
      <c r="C3" s="912"/>
      <c r="D3" s="912"/>
      <c r="E3" s="912"/>
      <c r="F3" s="912"/>
      <c r="G3" s="912"/>
      <c r="H3" s="912"/>
      <c r="I3" s="912"/>
      <c r="J3" s="912"/>
      <c r="K3" s="912"/>
      <c r="L3" s="912"/>
      <c r="M3" s="912"/>
      <c r="N3" s="912"/>
      <c r="O3" s="912"/>
      <c r="P3" s="912"/>
      <c r="Q3" s="912"/>
      <c r="R3" s="912"/>
      <c r="S3" s="912"/>
      <c r="T3" s="912"/>
      <c r="U3" s="912"/>
      <c r="V3" s="912"/>
      <c r="W3" s="912"/>
      <c r="X3" s="912"/>
      <c r="Y3" s="912"/>
      <c r="Z3" s="912"/>
      <c r="AA3" s="912"/>
      <c r="AB3" s="912"/>
      <c r="AC3" s="912"/>
      <c r="AD3" s="912"/>
      <c r="AE3" s="912"/>
      <c r="AF3" s="912"/>
      <c r="AG3" s="912"/>
      <c r="AH3" s="912"/>
      <c r="AO3" s="266"/>
      <c r="AP3" s="266"/>
      <c r="AQ3" s="266"/>
      <c r="AR3" s="266"/>
      <c r="AS3" s="266"/>
      <c r="AT3" s="266"/>
      <c r="AU3" s="266"/>
      <c r="AV3" s="266"/>
      <c r="AW3" s="266"/>
      <c r="AX3" s="266"/>
      <c r="AY3" s="266"/>
      <c r="AZ3" s="266"/>
      <c r="BA3" s="266"/>
      <c r="BB3" s="266"/>
      <c r="BC3" s="266"/>
      <c r="BD3" s="266"/>
      <c r="BE3" s="266"/>
      <c r="BF3" s="266"/>
      <c r="BG3" s="266"/>
      <c r="BH3" s="266"/>
      <c r="BI3" s="266"/>
      <c r="BJ3" s="266"/>
      <c r="BK3" s="266"/>
      <c r="BL3" s="266"/>
      <c r="BM3" s="266"/>
      <c r="BN3" s="266"/>
      <c r="BO3" s="266"/>
      <c r="BP3" s="266"/>
      <c r="BQ3" s="266"/>
      <c r="BR3" s="266"/>
      <c r="BS3" s="266"/>
      <c r="BT3" s="266"/>
      <c r="BU3" s="266"/>
    </row>
    <row r="4" spans="1:73" ht="10.5" customHeight="1">
      <c r="A4" s="912"/>
      <c r="B4" s="912"/>
      <c r="C4" s="912"/>
      <c r="D4" s="912"/>
      <c r="E4" s="912"/>
      <c r="F4" s="912"/>
      <c r="G4" s="912"/>
      <c r="H4" s="912"/>
      <c r="I4" s="912"/>
      <c r="J4" s="912"/>
      <c r="K4" s="912"/>
      <c r="L4" s="912"/>
      <c r="M4" s="912"/>
      <c r="N4" s="912"/>
      <c r="O4" s="912"/>
      <c r="P4" s="912"/>
      <c r="Q4" s="912"/>
      <c r="R4" s="912"/>
      <c r="S4" s="912"/>
      <c r="T4" s="912"/>
      <c r="U4" s="912"/>
      <c r="V4" s="912"/>
      <c r="W4" s="912"/>
      <c r="X4" s="912"/>
      <c r="Y4" s="912"/>
      <c r="Z4" s="912"/>
      <c r="AA4" s="912"/>
      <c r="AB4" s="912"/>
      <c r="AC4" s="912"/>
      <c r="AD4" s="912"/>
      <c r="AE4" s="912"/>
      <c r="AF4" s="912"/>
      <c r="AG4" s="912"/>
      <c r="AH4" s="912"/>
      <c r="AO4" s="266"/>
      <c r="AP4" s="266"/>
      <c r="AQ4" s="266"/>
      <c r="AR4" s="266"/>
      <c r="AS4" s="266"/>
      <c r="AT4" s="266"/>
      <c r="AU4" s="266"/>
      <c r="AV4" s="266"/>
      <c r="AW4" s="266"/>
      <c r="AX4" s="266"/>
      <c r="AY4" s="266"/>
      <c r="AZ4" s="266"/>
      <c r="BA4" s="266"/>
      <c r="BB4" s="266"/>
      <c r="BC4" s="266"/>
      <c r="BD4" s="266"/>
      <c r="BE4" s="266"/>
      <c r="BF4" s="266"/>
      <c r="BG4" s="266"/>
      <c r="BH4" s="266"/>
      <c r="BI4" s="266"/>
      <c r="BJ4" s="266"/>
      <c r="BK4" s="266"/>
      <c r="BL4" s="266"/>
      <c r="BM4" s="266"/>
      <c r="BN4" s="266"/>
      <c r="BO4" s="266"/>
      <c r="BP4" s="266"/>
      <c r="BQ4" s="266"/>
      <c r="BR4" s="266"/>
      <c r="BS4" s="266"/>
      <c r="BT4" s="266"/>
      <c r="BU4" s="266"/>
    </row>
    <row r="5" spans="1:73" ht="15" customHeight="1">
      <c r="E5" s="1186" t="str">
        <f>VLOOKUP("blatt",Translations!$A:$T,MATCH(Cover!DR19,Translations!A2:P2,0),0)</f>
        <v>Page</v>
      </c>
      <c r="F5" s="1186"/>
      <c r="G5" s="94"/>
      <c r="H5" s="1186" t="str">
        <f>VLOOKUP("vonvv",Translations!$A:$T,MATCH(Cover!DR19,Translations!A2:P2,0),0)</f>
        <v>of</v>
      </c>
      <c r="I5" s="1186"/>
      <c r="J5" s="1151"/>
      <c r="K5" s="1151"/>
      <c r="Z5" s="1186" t="str">
        <f>VLOOKUP("standyy",Translations!$A:$T,MATCH(Cover!DR19,Translations!A2:P2,0),0)</f>
        <v>Status:</v>
      </c>
      <c r="AA5" s="1186"/>
      <c r="AB5" s="1186"/>
      <c r="AC5" s="1157"/>
      <c r="AD5" s="1157"/>
      <c r="AE5" s="1157"/>
      <c r="AF5" s="1157"/>
      <c r="AG5" s="1186" t="str">
        <f>VLOOKUP("ydatumf",Translations!$A:$T,MATCH(Cover!DR19,Translations!A2:P2,0),0)</f>
        <v>/ Date:</v>
      </c>
      <c r="AH5" s="1186"/>
      <c r="AI5" s="1186"/>
      <c r="AJ5" s="1150"/>
      <c r="AK5" s="1151"/>
      <c r="AL5" s="1151"/>
      <c r="AM5" s="1151"/>
      <c r="AO5" s="266"/>
      <c r="AP5" s="266"/>
      <c r="AQ5" s="266"/>
      <c r="AR5" s="266"/>
      <c r="AS5" s="266"/>
      <c r="AT5" s="266"/>
      <c r="AU5" s="266"/>
      <c r="AV5" s="266"/>
      <c r="AW5" s="266"/>
      <c r="AX5" s="266"/>
      <c r="AY5" s="266"/>
      <c r="AZ5" s="266"/>
      <c r="BA5" s="266"/>
      <c r="BB5" s="266"/>
      <c r="BC5" s="266"/>
      <c r="BD5" s="266"/>
      <c r="BE5" s="266"/>
      <c r="BF5" s="266"/>
      <c r="BG5" s="266"/>
      <c r="BH5" s="266"/>
      <c r="BI5" s="266"/>
      <c r="BJ5" s="266"/>
      <c r="BK5" s="266"/>
      <c r="BL5" s="266"/>
      <c r="BM5" s="266"/>
      <c r="BN5" s="266"/>
      <c r="BO5" s="266"/>
      <c r="BP5" s="266"/>
      <c r="BQ5" s="266"/>
      <c r="BR5" s="266"/>
      <c r="BS5" s="266"/>
      <c r="BT5" s="266"/>
      <c r="BU5" s="266"/>
    </row>
    <row r="6" spans="1:73" ht="4.5" customHeight="1" thickBot="1">
      <c r="AO6" s="266"/>
      <c r="AP6" s="266"/>
      <c r="AQ6" s="266"/>
      <c r="AR6" s="266"/>
      <c r="AS6" s="266"/>
      <c r="AT6" s="266"/>
      <c r="AU6" s="266"/>
      <c r="AV6" s="266"/>
      <c r="AW6" s="266"/>
      <c r="AX6" s="266"/>
      <c r="AY6" s="266"/>
      <c r="AZ6" s="266"/>
      <c r="BA6" s="266"/>
      <c r="BB6" s="266"/>
      <c r="BC6" s="266"/>
      <c r="BD6" s="266"/>
      <c r="BE6" s="266"/>
      <c r="BF6" s="266"/>
      <c r="BG6" s="266"/>
      <c r="BH6" s="266"/>
      <c r="BI6" s="266"/>
      <c r="BJ6" s="266"/>
      <c r="BK6" s="266"/>
      <c r="BL6" s="266"/>
      <c r="BM6" s="266"/>
      <c r="BN6" s="266"/>
      <c r="BO6" s="266"/>
      <c r="BP6" s="266"/>
      <c r="BQ6" s="266"/>
      <c r="BR6" s="266"/>
      <c r="BS6" s="266"/>
      <c r="BT6" s="266"/>
      <c r="BU6" s="266"/>
    </row>
    <row r="7" spans="1:73" ht="3" customHeight="1">
      <c r="A7" s="59"/>
      <c r="B7" s="268"/>
      <c r="C7" s="268"/>
      <c r="D7" s="1192"/>
      <c r="E7" s="1192"/>
      <c r="F7" s="1192"/>
      <c r="G7" s="1192"/>
      <c r="H7" s="1192"/>
      <c r="I7" s="1192"/>
      <c r="J7" s="1192"/>
      <c r="K7" s="1192"/>
      <c r="L7" s="1192"/>
      <c r="M7" s="1192"/>
      <c r="N7" s="1192"/>
      <c r="O7" s="1192"/>
      <c r="P7" s="1192"/>
      <c r="Q7" s="1193"/>
      <c r="R7" s="59"/>
      <c r="S7" s="268"/>
      <c r="T7" s="268"/>
      <c r="U7" s="1192"/>
      <c r="V7" s="1192"/>
      <c r="W7" s="1192"/>
      <c r="X7" s="1192"/>
      <c r="Y7" s="1192"/>
      <c r="Z7" s="1192"/>
      <c r="AA7" s="1192"/>
      <c r="AB7" s="1192"/>
      <c r="AC7" s="1192"/>
      <c r="AD7" s="1192"/>
      <c r="AE7" s="1192"/>
      <c r="AF7" s="1192"/>
      <c r="AG7" s="1192"/>
      <c r="AH7" s="1192"/>
      <c r="AI7" s="1192"/>
      <c r="AJ7" s="1192"/>
      <c r="AK7" s="1192"/>
      <c r="AL7" s="1192"/>
      <c r="AM7" s="1192"/>
      <c r="AN7" s="1193"/>
      <c r="AO7" s="266"/>
      <c r="AP7" s="266"/>
      <c r="AQ7" s="266"/>
      <c r="AR7" s="266"/>
      <c r="AS7" s="266"/>
      <c r="AT7" s="266"/>
      <c r="AU7" s="266"/>
      <c r="AV7" s="266"/>
      <c r="AW7" s="266"/>
      <c r="AX7" s="266"/>
      <c r="AY7" s="266"/>
      <c r="AZ7" s="266"/>
      <c r="BA7" s="266"/>
      <c r="BB7" s="266"/>
      <c r="BC7" s="266"/>
      <c r="BD7" s="266"/>
      <c r="BE7" s="266"/>
      <c r="BF7" s="266"/>
      <c r="BG7" s="266"/>
      <c r="BH7" s="266"/>
      <c r="BI7" s="266"/>
      <c r="BJ7" s="266"/>
      <c r="BK7" s="266"/>
      <c r="BL7" s="266"/>
      <c r="BM7" s="266"/>
      <c r="BN7" s="266"/>
      <c r="BO7" s="266"/>
      <c r="BP7" s="266"/>
      <c r="BQ7" s="266"/>
      <c r="BR7" s="266"/>
      <c r="BS7" s="266"/>
      <c r="BT7" s="266"/>
      <c r="BU7" s="266"/>
    </row>
    <row r="8" spans="1:73" ht="15.75" customHeight="1">
      <c r="A8" s="42"/>
      <c r="B8" s="497"/>
      <c r="C8" s="31"/>
      <c r="D8" s="877" t="str">
        <f>Cover!AB23</f>
        <v>8 Software test report</v>
      </c>
      <c r="E8" s="877"/>
      <c r="F8" s="877"/>
      <c r="G8" s="877"/>
      <c r="H8" s="877"/>
      <c r="I8" s="877"/>
      <c r="J8" s="877"/>
      <c r="K8" s="877"/>
      <c r="L8" s="877"/>
      <c r="M8" s="877"/>
      <c r="N8" s="877"/>
      <c r="O8" s="877"/>
      <c r="P8" s="877"/>
      <c r="Q8" s="880"/>
      <c r="R8" s="42"/>
      <c r="S8" s="497"/>
      <c r="T8" s="31"/>
      <c r="U8" s="877" t="str">
        <f>Cover!BU23</f>
        <v>16 Tooling list</v>
      </c>
      <c r="V8" s="877"/>
      <c r="W8" s="877"/>
      <c r="X8" s="877"/>
      <c r="Y8" s="877"/>
      <c r="Z8" s="877"/>
      <c r="AA8" s="877"/>
      <c r="AB8" s="877"/>
      <c r="AC8" s="877"/>
      <c r="AD8" s="877"/>
      <c r="AE8" s="877"/>
      <c r="AF8" s="877"/>
      <c r="AG8" s="877"/>
      <c r="AH8" s="877"/>
      <c r="AI8" s="877"/>
      <c r="AJ8" s="877"/>
      <c r="AK8" s="877"/>
      <c r="AL8" s="877"/>
      <c r="AM8" s="877"/>
      <c r="AN8" s="880"/>
      <c r="AO8" s="266"/>
      <c r="AP8" s="266"/>
      <c r="AQ8" s="266"/>
      <c r="AR8" s="266"/>
      <c r="AS8" s="266"/>
      <c r="AT8" s="266"/>
      <c r="AU8" s="266"/>
      <c r="AV8" s="266"/>
      <c r="AW8" s="266"/>
      <c r="AX8" s="266"/>
      <c r="AY8" s="266"/>
      <c r="AZ8" s="266"/>
      <c r="BA8" s="266"/>
      <c r="BB8" s="266"/>
      <c r="BC8" s="266"/>
      <c r="BD8" s="266"/>
      <c r="BE8" s="266"/>
      <c r="BF8" s="266"/>
      <c r="BG8" s="266"/>
      <c r="BH8" s="266"/>
      <c r="BI8" s="266"/>
      <c r="BJ8" s="266"/>
      <c r="BK8" s="266"/>
      <c r="BL8" s="266"/>
      <c r="BM8" s="266"/>
      <c r="BN8" s="266"/>
      <c r="BO8" s="266"/>
      <c r="BP8" s="266"/>
      <c r="BQ8" s="266"/>
      <c r="BR8" s="266"/>
      <c r="BS8" s="266"/>
      <c r="BT8" s="266"/>
      <c r="BU8" s="266"/>
    </row>
    <row r="9" spans="1:73" ht="3" customHeight="1">
      <c r="A9" s="42"/>
      <c r="B9" s="282"/>
      <c r="C9" s="31"/>
      <c r="D9" s="258"/>
      <c r="E9" s="258"/>
      <c r="F9" s="258"/>
      <c r="G9" s="258"/>
      <c r="H9" s="258"/>
      <c r="I9" s="258"/>
      <c r="J9" s="258"/>
      <c r="K9" s="258"/>
      <c r="L9" s="258"/>
      <c r="M9" s="258"/>
      <c r="N9" s="258"/>
      <c r="O9" s="258"/>
      <c r="P9" s="258"/>
      <c r="Q9" s="259"/>
      <c r="R9" s="42"/>
      <c r="S9" s="282"/>
      <c r="T9" s="31"/>
      <c r="U9" s="258"/>
      <c r="V9" s="258"/>
      <c r="W9" s="258"/>
      <c r="X9" s="258"/>
      <c r="Y9" s="258"/>
      <c r="Z9" s="258"/>
      <c r="AA9" s="258"/>
      <c r="AB9" s="258"/>
      <c r="AC9" s="258"/>
      <c r="AD9" s="258"/>
      <c r="AE9" s="258"/>
      <c r="AF9" s="258"/>
      <c r="AG9" s="258"/>
      <c r="AH9" s="258"/>
      <c r="AI9" s="258"/>
      <c r="AJ9" s="258"/>
      <c r="AK9" s="258"/>
      <c r="AL9" s="258"/>
      <c r="AM9" s="258"/>
      <c r="AN9" s="259"/>
      <c r="AO9" s="266"/>
      <c r="AP9" s="266"/>
      <c r="AQ9" s="266"/>
      <c r="AR9" s="266"/>
      <c r="AS9" s="266"/>
      <c r="AT9" s="266"/>
      <c r="AU9" s="266"/>
      <c r="AV9" s="266"/>
      <c r="AW9" s="266"/>
      <c r="AX9" s="266"/>
      <c r="AY9" s="266"/>
      <c r="AZ9" s="266"/>
      <c r="BA9" s="266"/>
      <c r="BB9" s="266"/>
      <c r="BC9" s="266"/>
      <c r="BD9" s="266"/>
      <c r="BE9" s="266"/>
      <c r="BF9" s="266"/>
      <c r="BG9" s="266"/>
      <c r="BH9" s="266"/>
      <c r="BI9" s="266"/>
      <c r="BJ9" s="266"/>
      <c r="BK9" s="266"/>
      <c r="BL9" s="266"/>
      <c r="BM9" s="266"/>
      <c r="BN9" s="266"/>
      <c r="BO9" s="266"/>
      <c r="BP9" s="266"/>
      <c r="BQ9" s="266"/>
      <c r="BR9" s="266"/>
      <c r="BS9" s="266"/>
      <c r="BT9" s="266"/>
      <c r="BU9" s="266"/>
    </row>
    <row r="10" spans="1:73" ht="3" customHeight="1">
      <c r="A10" s="42"/>
      <c r="B10" s="282"/>
      <c r="C10" s="31"/>
      <c r="D10" s="258"/>
      <c r="E10" s="258"/>
      <c r="F10" s="258"/>
      <c r="G10" s="258"/>
      <c r="H10" s="258"/>
      <c r="I10" s="258"/>
      <c r="J10" s="258"/>
      <c r="K10" s="258"/>
      <c r="L10" s="258"/>
      <c r="M10" s="258"/>
      <c r="N10" s="258"/>
      <c r="O10" s="258"/>
      <c r="P10" s="258"/>
      <c r="Q10" s="259"/>
      <c r="R10" s="42"/>
      <c r="S10" s="282"/>
      <c r="T10" s="31"/>
      <c r="U10" s="258"/>
      <c r="V10" s="258"/>
      <c r="W10" s="258"/>
      <c r="X10" s="258"/>
      <c r="Y10" s="258"/>
      <c r="Z10" s="258"/>
      <c r="AA10" s="258"/>
      <c r="AB10" s="258"/>
      <c r="AC10" s="258"/>
      <c r="AD10" s="258"/>
      <c r="AE10" s="258"/>
      <c r="AF10" s="258"/>
      <c r="AG10" s="258"/>
      <c r="AH10" s="258"/>
      <c r="AI10" s="258"/>
      <c r="AJ10" s="258"/>
      <c r="AK10" s="258"/>
      <c r="AL10" s="258"/>
      <c r="AM10" s="258"/>
      <c r="AN10" s="259"/>
      <c r="AO10" s="266"/>
      <c r="AP10" s="266"/>
      <c r="AQ10" s="266"/>
      <c r="AR10" s="266"/>
      <c r="AS10" s="266"/>
      <c r="AT10" s="266"/>
      <c r="AU10" s="266"/>
      <c r="AV10" s="266"/>
      <c r="AW10" s="266"/>
      <c r="AX10" s="266"/>
      <c r="AY10" s="266"/>
      <c r="AZ10" s="266"/>
      <c r="BA10" s="266"/>
      <c r="BB10" s="266"/>
      <c r="BC10" s="266"/>
      <c r="BD10" s="266"/>
      <c r="BE10" s="266"/>
      <c r="BF10" s="266"/>
      <c r="BG10" s="266"/>
      <c r="BH10" s="266"/>
      <c r="BI10" s="266"/>
      <c r="BJ10" s="266"/>
      <c r="BK10" s="266"/>
      <c r="BL10" s="266"/>
      <c r="BM10" s="266"/>
      <c r="BN10" s="266"/>
      <c r="BO10" s="266"/>
      <c r="BP10" s="266"/>
      <c r="BQ10" s="266"/>
      <c r="BR10" s="266"/>
      <c r="BS10" s="266"/>
      <c r="BT10" s="266"/>
      <c r="BU10" s="266"/>
    </row>
    <row r="11" spans="1:73" ht="15.75" customHeight="1">
      <c r="A11" s="42"/>
      <c r="B11" s="497" t="s">
        <v>653</v>
      </c>
      <c r="C11" s="31"/>
      <c r="D11" s="877" t="str">
        <f>Cover!AB25</f>
        <v>9 Process – FMEA</v>
      </c>
      <c r="E11" s="877"/>
      <c r="F11" s="877"/>
      <c r="G11" s="877"/>
      <c r="H11" s="877"/>
      <c r="I11" s="877"/>
      <c r="J11" s="877"/>
      <c r="K11" s="877"/>
      <c r="L11" s="877"/>
      <c r="M11" s="877"/>
      <c r="N11" s="877"/>
      <c r="O11" s="877"/>
      <c r="P11" s="877"/>
      <c r="Q11" s="880"/>
      <c r="R11" s="42"/>
      <c r="S11" s="497"/>
      <c r="T11" s="31"/>
      <c r="U11" s="877" t="str">
        <f>Cover!BU25</f>
        <v>17 Confirmation of agreed capacity</v>
      </c>
      <c r="V11" s="877"/>
      <c r="W11" s="877"/>
      <c r="X11" s="877"/>
      <c r="Y11" s="877"/>
      <c r="Z11" s="877"/>
      <c r="AA11" s="877"/>
      <c r="AB11" s="877"/>
      <c r="AC11" s="877"/>
      <c r="AD11" s="877"/>
      <c r="AE11" s="877"/>
      <c r="AF11" s="877"/>
      <c r="AG11" s="877"/>
      <c r="AH11" s="877"/>
      <c r="AI11" s="877"/>
      <c r="AJ11" s="877"/>
      <c r="AK11" s="877"/>
      <c r="AL11" s="877"/>
      <c r="AM11" s="877"/>
      <c r="AN11" s="880"/>
      <c r="AO11" s="266"/>
      <c r="AP11" s="266"/>
      <c r="AQ11" s="266"/>
      <c r="AR11" s="266"/>
      <c r="AS11" s="266"/>
      <c r="AT11" s="266"/>
      <c r="AU11" s="266"/>
      <c r="AV11" s="266"/>
      <c r="AW11" s="266"/>
      <c r="AX11" s="266"/>
      <c r="AY11" s="266"/>
      <c r="AZ11" s="266"/>
      <c r="BA11" s="266"/>
      <c r="BB11" s="266"/>
      <c r="BC11" s="266"/>
      <c r="BD11" s="266"/>
      <c r="BE11" s="266"/>
      <c r="BF11" s="266"/>
      <c r="BG11" s="266"/>
      <c r="BH11" s="266"/>
      <c r="BI11" s="266"/>
      <c r="BJ11" s="266"/>
      <c r="BK11" s="266"/>
      <c r="BL11" s="266"/>
      <c r="BM11" s="266"/>
      <c r="BN11" s="266"/>
      <c r="BO11" s="266"/>
      <c r="BP11" s="266"/>
      <c r="BQ11" s="266"/>
      <c r="BR11" s="266"/>
      <c r="BS11" s="266"/>
      <c r="BT11" s="266"/>
      <c r="BU11" s="266"/>
    </row>
    <row r="12" spans="1:73" ht="3" customHeight="1">
      <c r="A12" s="42"/>
      <c r="B12" s="282"/>
      <c r="C12" s="31"/>
      <c r="D12" s="258"/>
      <c r="E12" s="258"/>
      <c r="F12" s="258"/>
      <c r="G12" s="258"/>
      <c r="H12" s="258"/>
      <c r="I12" s="258"/>
      <c r="J12" s="258"/>
      <c r="K12" s="258"/>
      <c r="L12" s="258"/>
      <c r="M12" s="258"/>
      <c r="N12" s="258"/>
      <c r="O12" s="258"/>
      <c r="P12" s="258"/>
      <c r="Q12" s="259"/>
      <c r="R12" s="42"/>
      <c r="S12" s="282"/>
      <c r="T12" s="31"/>
      <c r="U12" s="258"/>
      <c r="V12" s="258"/>
      <c r="W12" s="258"/>
      <c r="X12" s="258"/>
      <c r="Y12" s="258"/>
      <c r="Z12" s="258"/>
      <c r="AA12" s="258"/>
      <c r="AB12" s="258"/>
      <c r="AC12" s="258"/>
      <c r="AD12" s="258"/>
      <c r="AE12" s="258"/>
      <c r="AF12" s="258"/>
      <c r="AG12" s="258"/>
      <c r="AH12" s="258"/>
      <c r="AI12" s="258"/>
      <c r="AJ12" s="258"/>
      <c r="AK12" s="258"/>
      <c r="AL12" s="258"/>
      <c r="AM12" s="258"/>
      <c r="AN12" s="259"/>
      <c r="AO12" s="266"/>
      <c r="AP12" s="266"/>
      <c r="AQ12" s="266"/>
      <c r="AR12" s="266"/>
      <c r="AS12" s="266"/>
      <c r="AT12" s="266"/>
      <c r="AU12" s="266"/>
      <c r="AV12" s="266"/>
      <c r="AW12" s="266"/>
      <c r="AX12" s="266"/>
      <c r="AY12" s="266"/>
      <c r="AZ12" s="266"/>
      <c r="BA12" s="266"/>
      <c r="BB12" s="266"/>
      <c r="BC12" s="266"/>
      <c r="BD12" s="266"/>
      <c r="BE12" s="266"/>
      <c r="BF12" s="266"/>
      <c r="BG12" s="266"/>
      <c r="BH12" s="266"/>
      <c r="BI12" s="266"/>
      <c r="BJ12" s="266"/>
      <c r="BK12" s="266"/>
      <c r="BL12" s="266"/>
      <c r="BM12" s="266"/>
      <c r="BN12" s="266"/>
      <c r="BO12" s="266"/>
      <c r="BP12" s="266"/>
      <c r="BQ12" s="266"/>
      <c r="BR12" s="266"/>
      <c r="BS12" s="266"/>
      <c r="BT12" s="266"/>
      <c r="BU12" s="266"/>
    </row>
    <row r="13" spans="1:73" ht="3" customHeight="1">
      <c r="A13" s="42"/>
      <c r="B13" s="282"/>
      <c r="C13" s="31"/>
      <c r="D13" s="258"/>
      <c r="E13" s="258"/>
      <c r="F13" s="258"/>
      <c r="G13" s="258"/>
      <c r="H13" s="258"/>
      <c r="I13" s="258"/>
      <c r="J13" s="258"/>
      <c r="K13" s="258"/>
      <c r="L13" s="258"/>
      <c r="M13" s="258"/>
      <c r="N13" s="258"/>
      <c r="O13" s="258"/>
      <c r="P13" s="258"/>
      <c r="Q13" s="259"/>
      <c r="R13" s="42"/>
      <c r="S13" s="282"/>
      <c r="T13" s="31"/>
      <c r="U13" s="258"/>
      <c r="V13" s="258"/>
      <c r="W13" s="258"/>
      <c r="X13" s="258"/>
      <c r="Y13" s="258"/>
      <c r="Z13" s="258"/>
      <c r="AA13" s="258"/>
      <c r="AB13" s="258"/>
      <c r="AC13" s="258"/>
      <c r="AD13" s="258"/>
      <c r="AE13" s="258"/>
      <c r="AF13" s="258"/>
      <c r="AG13" s="258"/>
      <c r="AH13" s="258"/>
      <c r="AI13" s="258"/>
      <c r="AJ13" s="258"/>
      <c r="AK13" s="258"/>
      <c r="AL13" s="258"/>
      <c r="AM13" s="258"/>
      <c r="AN13" s="259"/>
      <c r="AO13" s="266"/>
      <c r="AP13" s="266"/>
      <c r="AQ13" s="266"/>
      <c r="AR13" s="266"/>
      <c r="AS13" s="266"/>
      <c r="AT13" s="266"/>
      <c r="AU13" s="266"/>
      <c r="AV13" s="266"/>
      <c r="AW13" s="266"/>
      <c r="AX13" s="266"/>
      <c r="AY13" s="266"/>
      <c r="AZ13" s="266"/>
      <c r="BA13" s="266"/>
      <c r="BB13" s="266"/>
      <c r="BC13" s="266"/>
      <c r="BD13" s="266"/>
      <c r="BE13" s="266"/>
      <c r="BF13" s="266"/>
      <c r="BG13" s="266"/>
      <c r="BH13" s="266"/>
      <c r="BI13" s="266"/>
      <c r="BJ13" s="266"/>
      <c r="BK13" s="266"/>
      <c r="BL13" s="266"/>
      <c r="BM13" s="266"/>
      <c r="BN13" s="266"/>
      <c r="BO13" s="266"/>
      <c r="BP13" s="266"/>
      <c r="BQ13" s="266"/>
      <c r="BR13" s="266"/>
      <c r="BS13" s="266"/>
      <c r="BT13" s="266"/>
      <c r="BU13" s="266"/>
    </row>
    <row r="14" spans="1:73" ht="15.75" customHeight="1">
      <c r="A14" s="42"/>
      <c r="B14" s="497"/>
      <c r="C14" s="31"/>
      <c r="D14" s="877" t="str">
        <f>Cover!AB27</f>
        <v>10 Process flow chart</v>
      </c>
      <c r="E14" s="877"/>
      <c r="F14" s="877"/>
      <c r="G14" s="877"/>
      <c r="H14" s="877"/>
      <c r="I14" s="877"/>
      <c r="J14" s="877"/>
      <c r="K14" s="877"/>
      <c r="L14" s="877"/>
      <c r="M14" s="877"/>
      <c r="N14" s="877"/>
      <c r="O14" s="877"/>
      <c r="P14" s="877"/>
      <c r="Q14" s="880"/>
      <c r="R14" s="42"/>
      <c r="S14" s="497"/>
      <c r="T14" s="31"/>
      <c r="U14" s="877" t="str">
        <f>Cover!BU27</f>
        <v>18 Written self-assessment</v>
      </c>
      <c r="V14" s="877"/>
      <c r="W14" s="877"/>
      <c r="X14" s="877"/>
      <c r="Y14" s="877"/>
      <c r="Z14" s="877"/>
      <c r="AA14" s="877"/>
      <c r="AB14" s="877"/>
      <c r="AC14" s="877"/>
      <c r="AD14" s="877"/>
      <c r="AE14" s="877"/>
      <c r="AF14" s="877"/>
      <c r="AG14" s="877"/>
      <c r="AH14" s="877"/>
      <c r="AI14" s="877"/>
      <c r="AJ14" s="877"/>
      <c r="AK14" s="877"/>
      <c r="AL14" s="877"/>
      <c r="AM14" s="877"/>
      <c r="AN14" s="880"/>
      <c r="AO14" s="266"/>
      <c r="AP14" s="266"/>
      <c r="AQ14" s="266"/>
      <c r="AR14" s="266"/>
      <c r="AS14" s="266"/>
      <c r="AT14" s="266"/>
      <c r="AU14" s="266"/>
      <c r="AV14" s="266"/>
      <c r="AW14" s="266"/>
      <c r="AX14" s="266"/>
      <c r="AY14" s="266"/>
      <c r="AZ14" s="266"/>
      <c r="BA14" s="266"/>
      <c r="BB14" s="266"/>
      <c r="BC14" s="266"/>
      <c r="BD14" s="266"/>
      <c r="BE14" s="266"/>
      <c r="BF14" s="266"/>
      <c r="BG14" s="266"/>
      <c r="BH14" s="266"/>
      <c r="BI14" s="266"/>
      <c r="BJ14" s="266"/>
      <c r="BK14" s="266"/>
      <c r="BL14" s="266"/>
      <c r="BM14" s="266"/>
      <c r="BN14" s="266"/>
      <c r="BO14" s="266"/>
      <c r="BP14" s="266"/>
      <c r="BQ14" s="266"/>
      <c r="BR14" s="266"/>
      <c r="BS14" s="266"/>
      <c r="BT14" s="266"/>
      <c r="BU14" s="266"/>
    </row>
    <row r="15" spans="1:73" ht="3" customHeight="1">
      <c r="A15" s="42"/>
      <c r="B15" s="282"/>
      <c r="C15" s="31"/>
      <c r="D15" s="258"/>
      <c r="E15" s="258"/>
      <c r="F15" s="258"/>
      <c r="G15" s="258"/>
      <c r="H15" s="258"/>
      <c r="I15" s="258"/>
      <c r="J15" s="258"/>
      <c r="K15" s="258"/>
      <c r="L15" s="258"/>
      <c r="M15" s="258"/>
      <c r="N15" s="258"/>
      <c r="O15" s="258"/>
      <c r="P15" s="258"/>
      <c r="Q15" s="259"/>
      <c r="R15" s="42"/>
      <c r="S15" s="282"/>
      <c r="T15" s="31"/>
      <c r="U15" s="258"/>
      <c r="V15" s="258"/>
      <c r="W15" s="258"/>
      <c r="X15" s="258"/>
      <c r="Y15" s="258"/>
      <c r="Z15" s="258"/>
      <c r="AA15" s="258"/>
      <c r="AB15" s="258"/>
      <c r="AC15" s="258"/>
      <c r="AD15" s="258"/>
      <c r="AE15" s="258"/>
      <c r="AF15" s="258"/>
      <c r="AG15" s="258"/>
      <c r="AH15" s="258"/>
      <c r="AI15" s="258"/>
      <c r="AJ15" s="258"/>
      <c r="AK15" s="258"/>
      <c r="AL15" s="258"/>
      <c r="AM15" s="258"/>
      <c r="AN15" s="259"/>
      <c r="AO15" s="266"/>
      <c r="AP15" s="266"/>
      <c r="AQ15" s="266"/>
      <c r="AR15" s="266"/>
      <c r="AS15" s="266"/>
      <c r="AT15" s="266"/>
      <c r="AU15" s="266"/>
      <c r="AV15" s="266"/>
      <c r="AW15" s="266"/>
      <c r="AX15" s="266"/>
      <c r="AY15" s="266"/>
      <c r="AZ15" s="266"/>
      <c r="BA15" s="266"/>
      <c r="BB15" s="266"/>
      <c r="BC15" s="266"/>
      <c r="BD15" s="266"/>
      <c r="BE15" s="266"/>
      <c r="BF15" s="266"/>
      <c r="BG15" s="266"/>
      <c r="BH15" s="266"/>
      <c r="BI15" s="266"/>
      <c r="BJ15" s="266"/>
      <c r="BK15" s="266"/>
      <c r="BL15" s="266"/>
      <c r="BM15" s="266"/>
      <c r="BN15" s="266"/>
      <c r="BO15" s="266"/>
      <c r="BP15" s="266"/>
      <c r="BQ15" s="266"/>
      <c r="BR15" s="266"/>
      <c r="BS15" s="266"/>
      <c r="BT15" s="266"/>
      <c r="BU15" s="266"/>
    </row>
    <row r="16" spans="1:73" ht="3" customHeight="1">
      <c r="A16" s="42"/>
      <c r="B16" s="282"/>
      <c r="C16" s="31"/>
      <c r="D16" s="258"/>
      <c r="E16" s="258"/>
      <c r="F16" s="258"/>
      <c r="G16" s="258"/>
      <c r="H16" s="258"/>
      <c r="I16" s="258"/>
      <c r="J16" s="258"/>
      <c r="K16" s="258"/>
      <c r="L16" s="258"/>
      <c r="M16" s="258"/>
      <c r="N16" s="258"/>
      <c r="O16" s="258"/>
      <c r="P16" s="258"/>
      <c r="Q16" s="259"/>
      <c r="R16" s="42"/>
      <c r="S16" s="282"/>
      <c r="T16" s="31"/>
      <c r="U16" s="258"/>
      <c r="V16" s="258"/>
      <c r="W16" s="258"/>
      <c r="X16" s="258"/>
      <c r="Y16" s="258"/>
      <c r="Z16" s="258"/>
      <c r="AA16" s="258"/>
      <c r="AB16" s="258"/>
      <c r="AC16" s="258"/>
      <c r="AD16" s="258"/>
      <c r="AE16" s="258"/>
      <c r="AF16" s="258"/>
      <c r="AG16" s="258"/>
      <c r="AH16" s="258"/>
      <c r="AI16" s="258"/>
      <c r="AJ16" s="258"/>
      <c r="AK16" s="258"/>
      <c r="AL16" s="258"/>
      <c r="AM16" s="258"/>
      <c r="AN16" s="259"/>
      <c r="AO16" s="266"/>
      <c r="AP16" s="266"/>
      <c r="AQ16" s="266"/>
      <c r="AR16" s="266"/>
      <c r="AS16" s="266"/>
      <c r="AT16" s="266"/>
      <c r="AU16" s="266"/>
      <c r="AV16" s="266"/>
      <c r="AW16" s="266"/>
      <c r="AX16" s="266"/>
      <c r="AY16" s="266"/>
      <c r="AZ16" s="266"/>
      <c r="BA16" s="266"/>
      <c r="BB16" s="266"/>
      <c r="BC16" s="266"/>
      <c r="BD16" s="266"/>
      <c r="BE16" s="266"/>
      <c r="BF16" s="266"/>
      <c r="BG16" s="266"/>
      <c r="BH16" s="266"/>
      <c r="BI16" s="266"/>
      <c r="BJ16" s="266"/>
      <c r="BK16" s="266"/>
      <c r="BL16" s="266"/>
      <c r="BM16" s="266"/>
      <c r="BN16" s="266"/>
      <c r="BO16" s="266"/>
      <c r="BP16" s="266"/>
      <c r="BQ16" s="266"/>
      <c r="BR16" s="266"/>
      <c r="BS16" s="266"/>
      <c r="BT16" s="266"/>
      <c r="BU16" s="266"/>
    </row>
    <row r="17" spans="1:73" ht="15.75" customHeight="1">
      <c r="A17" s="42"/>
      <c r="B17" s="497"/>
      <c r="C17" s="31"/>
      <c r="D17" s="877" t="str">
        <f>Cover!AB29</f>
        <v>11 Control plan</v>
      </c>
      <c r="E17" s="877"/>
      <c r="F17" s="877"/>
      <c r="G17" s="877"/>
      <c r="H17" s="877"/>
      <c r="I17" s="877"/>
      <c r="J17" s="877"/>
      <c r="K17" s="877"/>
      <c r="L17" s="877"/>
      <c r="M17" s="877"/>
      <c r="N17" s="877"/>
      <c r="O17" s="877"/>
      <c r="P17" s="877"/>
      <c r="Q17" s="880"/>
      <c r="R17" s="42"/>
      <c r="S17" s="497"/>
      <c r="T17" s="31"/>
      <c r="U17" s="877" t="str">
        <f>Cover!BU29</f>
        <v>19 Part history</v>
      </c>
      <c r="V17" s="877"/>
      <c r="W17" s="877"/>
      <c r="X17" s="877"/>
      <c r="Y17" s="877"/>
      <c r="Z17" s="877"/>
      <c r="AA17" s="877"/>
      <c r="AB17" s="877"/>
      <c r="AC17" s="877"/>
      <c r="AD17" s="877"/>
      <c r="AE17" s="877"/>
      <c r="AF17" s="877"/>
      <c r="AG17" s="877"/>
      <c r="AH17" s="877"/>
      <c r="AI17" s="877"/>
      <c r="AJ17" s="877"/>
      <c r="AK17" s="877"/>
      <c r="AL17" s="877"/>
      <c r="AM17" s="877"/>
      <c r="AN17" s="880"/>
      <c r="AO17" s="266"/>
      <c r="AP17" s="266"/>
      <c r="AQ17" s="266"/>
      <c r="AR17" s="266"/>
      <c r="AS17" s="266"/>
      <c r="AT17" s="266"/>
      <c r="AU17" s="266"/>
      <c r="AV17" s="266"/>
      <c r="AW17" s="266"/>
      <c r="AX17" s="266"/>
      <c r="AY17" s="266"/>
      <c r="AZ17" s="266"/>
      <c r="BA17" s="266"/>
      <c r="BB17" s="266"/>
      <c r="BC17" s="266"/>
      <c r="BD17" s="266"/>
      <c r="BE17" s="266"/>
      <c r="BF17" s="266"/>
      <c r="BG17" s="266"/>
      <c r="BH17" s="266"/>
      <c r="BI17" s="266"/>
      <c r="BJ17" s="266"/>
      <c r="BK17" s="266"/>
      <c r="BL17" s="266"/>
      <c r="BM17" s="266"/>
      <c r="BN17" s="266"/>
      <c r="BO17" s="266"/>
      <c r="BP17" s="266"/>
      <c r="BQ17" s="266"/>
      <c r="BR17" s="266"/>
      <c r="BS17" s="266"/>
      <c r="BT17" s="266"/>
      <c r="BU17" s="266"/>
    </row>
    <row r="18" spans="1:73" ht="3" customHeight="1">
      <c r="A18" s="42"/>
      <c r="B18" s="282"/>
      <c r="C18" s="31"/>
      <c r="D18" s="258"/>
      <c r="E18" s="258"/>
      <c r="F18" s="258"/>
      <c r="G18" s="258"/>
      <c r="H18" s="258"/>
      <c r="I18" s="258"/>
      <c r="J18" s="258"/>
      <c r="K18" s="258"/>
      <c r="L18" s="258"/>
      <c r="M18" s="258"/>
      <c r="N18" s="258"/>
      <c r="O18" s="258"/>
      <c r="P18" s="258"/>
      <c r="Q18" s="259"/>
      <c r="R18" s="42"/>
      <c r="S18" s="282"/>
      <c r="T18" s="31"/>
      <c r="U18" s="258"/>
      <c r="V18" s="258"/>
      <c r="W18" s="258"/>
      <c r="X18" s="258"/>
      <c r="Y18" s="258"/>
      <c r="Z18" s="258"/>
      <c r="AA18" s="258"/>
      <c r="AB18" s="258"/>
      <c r="AC18" s="258"/>
      <c r="AD18" s="258"/>
      <c r="AE18" s="258"/>
      <c r="AF18" s="258"/>
      <c r="AG18" s="258"/>
      <c r="AH18" s="258"/>
      <c r="AI18" s="258"/>
      <c r="AJ18" s="258"/>
      <c r="AK18" s="258"/>
      <c r="AL18" s="258"/>
      <c r="AM18" s="258"/>
      <c r="AN18" s="259"/>
      <c r="AO18" s="266"/>
      <c r="AP18" s="266"/>
      <c r="AQ18" s="266"/>
      <c r="AR18" s="266"/>
      <c r="AS18" s="266"/>
      <c r="AT18" s="266"/>
      <c r="AU18" s="266"/>
      <c r="AV18" s="266"/>
      <c r="AW18" s="266"/>
      <c r="AX18" s="266"/>
      <c r="AY18" s="266"/>
      <c r="AZ18" s="266"/>
      <c r="BA18" s="266"/>
      <c r="BB18" s="266"/>
      <c r="BC18" s="266"/>
      <c r="BD18" s="266"/>
      <c r="BE18" s="266"/>
      <c r="BF18" s="266"/>
      <c r="BG18" s="266"/>
      <c r="BH18" s="266"/>
      <c r="BI18" s="266"/>
      <c r="BJ18" s="266"/>
      <c r="BK18" s="266"/>
      <c r="BL18" s="266"/>
      <c r="BM18" s="266"/>
      <c r="BN18" s="266"/>
      <c r="BO18" s="266"/>
      <c r="BP18" s="266"/>
      <c r="BQ18" s="266"/>
      <c r="BR18" s="266"/>
      <c r="BS18" s="266"/>
      <c r="BT18" s="266"/>
      <c r="BU18" s="266"/>
    </row>
    <row r="19" spans="1:73" ht="3" customHeight="1">
      <c r="A19" s="42"/>
      <c r="B19" s="282"/>
      <c r="C19" s="31"/>
      <c r="D19" s="258"/>
      <c r="E19" s="258"/>
      <c r="F19" s="258"/>
      <c r="G19" s="258"/>
      <c r="H19" s="258"/>
      <c r="I19" s="258"/>
      <c r="J19" s="258"/>
      <c r="K19" s="258"/>
      <c r="L19" s="258"/>
      <c r="M19" s="258"/>
      <c r="N19" s="258"/>
      <c r="O19" s="258"/>
      <c r="P19" s="258"/>
      <c r="Q19" s="259"/>
      <c r="R19" s="42"/>
      <c r="S19" s="282"/>
      <c r="T19" s="31"/>
      <c r="U19" s="258"/>
      <c r="V19" s="258"/>
      <c r="W19" s="258"/>
      <c r="X19" s="258"/>
      <c r="Y19" s="258"/>
      <c r="Z19" s="258"/>
      <c r="AA19" s="258"/>
      <c r="AB19" s="258"/>
      <c r="AC19" s="258"/>
      <c r="AD19" s="258"/>
      <c r="AE19" s="258"/>
      <c r="AF19" s="258"/>
      <c r="AG19" s="258"/>
      <c r="AH19" s="258"/>
      <c r="AI19" s="258"/>
      <c r="AJ19" s="258"/>
      <c r="AK19" s="258"/>
      <c r="AL19" s="258"/>
      <c r="AM19" s="258"/>
      <c r="AN19" s="259"/>
      <c r="AO19" s="266"/>
      <c r="AP19" s="266"/>
      <c r="AQ19" s="266"/>
      <c r="AR19" s="266"/>
      <c r="AS19" s="266"/>
      <c r="AT19" s="266"/>
      <c r="AU19" s="266"/>
      <c r="AV19" s="266"/>
      <c r="AW19" s="266"/>
      <c r="AX19" s="266"/>
      <c r="AY19" s="266"/>
      <c r="AZ19" s="266"/>
      <c r="BA19" s="266"/>
      <c r="BB19" s="266"/>
      <c r="BC19" s="266"/>
      <c r="BD19" s="266"/>
      <c r="BE19" s="266"/>
      <c r="BF19" s="266"/>
      <c r="BG19" s="266"/>
      <c r="BH19" s="266"/>
      <c r="BI19" s="266"/>
      <c r="BJ19" s="266"/>
      <c r="BK19" s="266"/>
      <c r="BL19" s="266"/>
      <c r="BM19" s="266"/>
      <c r="BN19" s="266"/>
      <c r="BO19" s="266"/>
      <c r="BP19" s="266"/>
      <c r="BQ19" s="266"/>
      <c r="BR19" s="266"/>
      <c r="BS19" s="266"/>
      <c r="BT19" s="266"/>
      <c r="BU19" s="266"/>
    </row>
    <row r="20" spans="1:73" ht="15.75" customHeight="1">
      <c r="A20" s="42"/>
      <c r="B20" s="497"/>
      <c r="C20" s="31"/>
      <c r="D20" s="877" t="str">
        <f>Cover!AB31</f>
        <v>12 Confirmation of process capability</v>
      </c>
      <c r="E20" s="877"/>
      <c r="F20" s="877"/>
      <c r="G20" s="877"/>
      <c r="H20" s="877"/>
      <c r="I20" s="877"/>
      <c r="J20" s="877"/>
      <c r="K20" s="877"/>
      <c r="L20" s="877"/>
      <c r="M20" s="877"/>
      <c r="N20" s="877"/>
      <c r="O20" s="877"/>
      <c r="P20" s="877"/>
      <c r="Q20" s="880"/>
      <c r="R20" s="42"/>
      <c r="S20" s="497"/>
      <c r="T20" s="31"/>
      <c r="U20" s="877" t="str">
        <f>Cover!BU31</f>
        <v>20 Confirmation of suitability of transport equipment</v>
      </c>
      <c r="V20" s="877"/>
      <c r="W20" s="877"/>
      <c r="X20" s="877"/>
      <c r="Y20" s="877"/>
      <c r="Z20" s="877"/>
      <c r="AA20" s="877"/>
      <c r="AB20" s="877"/>
      <c r="AC20" s="877"/>
      <c r="AD20" s="877"/>
      <c r="AE20" s="877"/>
      <c r="AF20" s="877"/>
      <c r="AG20" s="877"/>
      <c r="AH20" s="877"/>
      <c r="AI20" s="877"/>
      <c r="AJ20" s="877"/>
      <c r="AK20" s="877"/>
      <c r="AL20" s="877"/>
      <c r="AM20" s="877"/>
      <c r="AN20" s="880"/>
      <c r="AO20" s="266"/>
      <c r="AP20" s="266"/>
      <c r="AQ20" s="266"/>
      <c r="AR20" s="266"/>
      <c r="AS20" s="266"/>
      <c r="AT20" s="266"/>
      <c r="AU20" s="266"/>
      <c r="AV20" s="266"/>
      <c r="AW20" s="266"/>
      <c r="AX20" s="266"/>
      <c r="AY20" s="266"/>
      <c r="AZ20" s="266"/>
      <c r="BA20" s="266"/>
      <c r="BB20" s="266"/>
      <c r="BC20" s="266"/>
      <c r="BD20" s="266"/>
      <c r="BE20" s="266"/>
      <c r="BF20" s="266"/>
      <c r="BG20" s="266"/>
      <c r="BH20" s="266"/>
      <c r="BI20" s="266"/>
      <c r="BJ20" s="266"/>
      <c r="BK20" s="266"/>
      <c r="BL20" s="266"/>
      <c r="BM20" s="266"/>
      <c r="BN20" s="266"/>
      <c r="BO20" s="266"/>
      <c r="BP20" s="266"/>
      <c r="BQ20" s="266"/>
      <c r="BR20" s="266"/>
      <c r="BS20" s="266"/>
      <c r="BT20" s="266"/>
      <c r="BU20" s="266"/>
    </row>
    <row r="21" spans="1:73" ht="3" customHeight="1">
      <c r="A21" s="42"/>
      <c r="B21" s="282"/>
      <c r="C21" s="31"/>
      <c r="D21" s="258"/>
      <c r="E21" s="258"/>
      <c r="F21" s="258"/>
      <c r="G21" s="258"/>
      <c r="H21" s="258"/>
      <c r="I21" s="258"/>
      <c r="J21" s="258"/>
      <c r="K21" s="258"/>
      <c r="L21" s="258"/>
      <c r="M21" s="258"/>
      <c r="N21" s="258"/>
      <c r="O21" s="258"/>
      <c r="P21" s="258"/>
      <c r="Q21" s="259"/>
      <c r="R21" s="42"/>
      <c r="S21" s="282"/>
      <c r="T21" s="31"/>
      <c r="U21" s="258"/>
      <c r="V21" s="258"/>
      <c r="W21" s="258"/>
      <c r="X21" s="258"/>
      <c r="Y21" s="258"/>
      <c r="Z21" s="258"/>
      <c r="AA21" s="258"/>
      <c r="AB21" s="258"/>
      <c r="AC21" s="258"/>
      <c r="AD21" s="258"/>
      <c r="AE21" s="258"/>
      <c r="AF21" s="258"/>
      <c r="AG21" s="258"/>
      <c r="AH21" s="258"/>
      <c r="AI21" s="258"/>
      <c r="AJ21" s="258"/>
      <c r="AK21" s="258"/>
      <c r="AL21" s="258"/>
      <c r="AM21" s="258"/>
      <c r="AN21" s="259"/>
      <c r="AO21" s="266"/>
      <c r="AP21" s="266"/>
      <c r="AQ21" s="266"/>
      <c r="AR21" s="266"/>
      <c r="AS21" s="266"/>
      <c r="AT21" s="266"/>
      <c r="AU21" s="266"/>
      <c r="AV21" s="266"/>
      <c r="AW21" s="266"/>
      <c r="AX21" s="266"/>
      <c r="AY21" s="266"/>
      <c r="AZ21" s="266"/>
      <c r="BA21" s="266"/>
      <c r="BB21" s="266"/>
      <c r="BC21" s="266"/>
      <c r="BD21" s="266"/>
      <c r="BE21" s="266"/>
      <c r="BF21" s="266"/>
      <c r="BG21" s="266"/>
      <c r="BH21" s="266"/>
      <c r="BI21" s="266"/>
      <c r="BJ21" s="266"/>
      <c r="BK21" s="266"/>
      <c r="BL21" s="266"/>
      <c r="BM21" s="266"/>
      <c r="BN21" s="266"/>
      <c r="BO21" s="266"/>
      <c r="BP21" s="266"/>
      <c r="BQ21" s="266"/>
      <c r="BR21" s="266"/>
      <c r="BS21" s="266"/>
      <c r="BT21" s="266"/>
      <c r="BU21" s="266"/>
    </row>
    <row r="22" spans="1:73" ht="3" customHeight="1">
      <c r="A22" s="42"/>
      <c r="B22" s="282"/>
      <c r="C22" s="31"/>
      <c r="D22" s="258"/>
      <c r="E22" s="258"/>
      <c r="F22" s="258"/>
      <c r="G22" s="258"/>
      <c r="H22" s="258"/>
      <c r="I22" s="258"/>
      <c r="J22" s="258"/>
      <c r="K22" s="258"/>
      <c r="L22" s="258"/>
      <c r="M22" s="258"/>
      <c r="N22" s="258"/>
      <c r="O22" s="258"/>
      <c r="P22" s="258"/>
      <c r="Q22" s="259"/>
      <c r="R22" s="42"/>
      <c r="S22" s="282"/>
      <c r="T22" s="31"/>
      <c r="U22" s="258"/>
      <c r="V22" s="258"/>
      <c r="W22" s="258"/>
      <c r="X22" s="258"/>
      <c r="Y22" s="258"/>
      <c r="Z22" s="258"/>
      <c r="AA22" s="258"/>
      <c r="AB22" s="258"/>
      <c r="AC22" s="258"/>
      <c r="AD22" s="258"/>
      <c r="AE22" s="258"/>
      <c r="AF22" s="258"/>
      <c r="AG22" s="258"/>
      <c r="AH22" s="258"/>
      <c r="AI22" s="258"/>
      <c r="AJ22" s="258"/>
      <c r="AK22" s="258"/>
      <c r="AL22" s="258"/>
      <c r="AM22" s="258"/>
      <c r="AN22" s="259"/>
      <c r="AO22" s="266"/>
      <c r="AP22" s="266"/>
      <c r="AQ22" s="266"/>
      <c r="AR22" s="266"/>
      <c r="AS22" s="266"/>
      <c r="AT22" s="266"/>
      <c r="AU22" s="266"/>
      <c r="AV22" s="266"/>
      <c r="AW22" s="266"/>
      <c r="AX22" s="266"/>
      <c r="AY22" s="266"/>
      <c r="AZ22" s="266"/>
      <c r="BA22" s="266"/>
      <c r="BB22" s="266"/>
      <c r="BC22" s="266"/>
      <c r="BD22" s="266"/>
      <c r="BE22" s="266"/>
      <c r="BF22" s="266"/>
      <c r="BG22" s="266"/>
      <c r="BH22" s="266"/>
      <c r="BI22" s="266"/>
      <c r="BJ22" s="266"/>
      <c r="BK22" s="266"/>
      <c r="BL22" s="266"/>
      <c r="BM22" s="266"/>
      <c r="BN22" s="266"/>
      <c r="BO22" s="266"/>
      <c r="BP22" s="266"/>
      <c r="BQ22" s="266"/>
      <c r="BR22" s="266"/>
      <c r="BS22" s="266"/>
      <c r="BT22" s="266"/>
      <c r="BU22" s="266"/>
    </row>
    <row r="23" spans="1:73" ht="15.75" customHeight="1">
      <c r="A23" s="42"/>
      <c r="B23" s="497"/>
      <c r="C23" s="31"/>
      <c r="D23" s="877" t="str">
        <f>Cover!AB33</f>
        <v>13 Achievement of special characteristics</v>
      </c>
      <c r="E23" s="877"/>
      <c r="F23" s="877"/>
      <c r="G23" s="877"/>
      <c r="H23" s="877"/>
      <c r="I23" s="877"/>
      <c r="J23" s="877"/>
      <c r="K23" s="877"/>
      <c r="L23" s="877"/>
      <c r="M23" s="877"/>
      <c r="N23" s="877"/>
      <c r="O23" s="877"/>
      <c r="P23" s="877"/>
      <c r="Q23" s="880"/>
      <c r="R23" s="42"/>
      <c r="S23" s="497"/>
      <c r="T23" s="31"/>
      <c r="U23" s="877" t="str">
        <f>Cover!BU33</f>
        <v>21 PPA-Status of the supply chain</v>
      </c>
      <c r="V23" s="877"/>
      <c r="W23" s="877"/>
      <c r="X23" s="877"/>
      <c r="Y23" s="877"/>
      <c r="Z23" s="877"/>
      <c r="AA23" s="877"/>
      <c r="AB23" s="877"/>
      <c r="AC23" s="877"/>
      <c r="AD23" s="877"/>
      <c r="AE23" s="877"/>
      <c r="AF23" s="877"/>
      <c r="AG23" s="877"/>
      <c r="AH23" s="877"/>
      <c r="AI23" s="877"/>
      <c r="AJ23" s="877"/>
      <c r="AK23" s="877"/>
      <c r="AL23" s="877"/>
      <c r="AM23" s="877"/>
      <c r="AN23" s="880"/>
      <c r="AO23" s="266"/>
      <c r="AP23" s="266"/>
      <c r="AQ23" s="266"/>
      <c r="AR23" s="266"/>
      <c r="AS23" s="266"/>
      <c r="AT23" s="266"/>
      <c r="AU23" s="266"/>
      <c r="AV23" s="266"/>
      <c r="AW23" s="266"/>
      <c r="AX23" s="266"/>
      <c r="AY23" s="266"/>
      <c r="AZ23" s="266"/>
      <c r="BA23" s="266"/>
      <c r="BB23" s="266"/>
      <c r="BC23" s="266"/>
      <c r="BD23" s="266"/>
      <c r="BE23" s="266"/>
      <c r="BF23" s="266"/>
      <c r="BG23" s="266"/>
      <c r="BH23" s="266"/>
      <c r="BI23" s="266"/>
      <c r="BJ23" s="266"/>
      <c r="BK23" s="266"/>
      <c r="BL23" s="266"/>
      <c r="BM23" s="266"/>
      <c r="BN23" s="266"/>
      <c r="BO23" s="266"/>
      <c r="BP23" s="266"/>
      <c r="BQ23" s="266"/>
      <c r="BR23" s="266"/>
      <c r="BS23" s="266"/>
      <c r="BT23" s="266"/>
      <c r="BU23" s="266"/>
    </row>
    <row r="24" spans="1:73" ht="3" customHeight="1">
      <c r="A24" s="42"/>
      <c r="B24" s="282"/>
      <c r="C24" s="31"/>
      <c r="D24" s="258"/>
      <c r="E24" s="258"/>
      <c r="F24" s="258"/>
      <c r="G24" s="258"/>
      <c r="H24" s="258"/>
      <c r="I24" s="258"/>
      <c r="J24" s="258"/>
      <c r="K24" s="258"/>
      <c r="L24" s="258"/>
      <c r="M24" s="258"/>
      <c r="N24" s="258"/>
      <c r="O24" s="258"/>
      <c r="P24" s="258"/>
      <c r="Q24" s="259"/>
      <c r="R24" s="42"/>
      <c r="S24" s="282"/>
      <c r="T24" s="31"/>
      <c r="U24" s="258"/>
      <c r="V24" s="258"/>
      <c r="W24" s="258"/>
      <c r="X24" s="258"/>
      <c r="Y24" s="258"/>
      <c r="Z24" s="258"/>
      <c r="AA24" s="258"/>
      <c r="AB24" s="258"/>
      <c r="AC24" s="258"/>
      <c r="AD24" s="258"/>
      <c r="AE24" s="258"/>
      <c r="AF24" s="258"/>
      <c r="AG24" s="258"/>
      <c r="AH24" s="258"/>
      <c r="AI24" s="258"/>
      <c r="AJ24" s="258"/>
      <c r="AK24" s="258"/>
      <c r="AL24" s="258"/>
      <c r="AM24" s="258"/>
      <c r="AN24" s="259"/>
      <c r="AO24" s="266"/>
      <c r="AP24" s="266"/>
      <c r="AQ24" s="266"/>
      <c r="AR24" s="266"/>
      <c r="AS24" s="266"/>
      <c r="AT24" s="266"/>
      <c r="AU24" s="266"/>
      <c r="AV24" s="266"/>
      <c r="AW24" s="266"/>
      <c r="AX24" s="266"/>
      <c r="AY24" s="266"/>
      <c r="AZ24" s="266"/>
      <c r="BA24" s="266"/>
      <c r="BB24" s="266"/>
      <c r="BC24" s="266"/>
      <c r="BD24" s="266"/>
      <c r="BE24" s="266"/>
      <c r="BF24" s="266"/>
      <c r="BG24" s="266"/>
      <c r="BH24" s="266"/>
      <c r="BI24" s="266"/>
      <c r="BJ24" s="266"/>
      <c r="BK24" s="266"/>
      <c r="BL24" s="266"/>
      <c r="BM24" s="266"/>
      <c r="BN24" s="266"/>
      <c r="BO24" s="266"/>
      <c r="BP24" s="266"/>
      <c r="BQ24" s="266"/>
      <c r="BR24" s="266"/>
      <c r="BS24" s="266"/>
      <c r="BT24" s="266"/>
      <c r="BU24" s="266"/>
    </row>
    <row r="25" spans="1:73" ht="3" customHeight="1">
      <c r="A25" s="42"/>
      <c r="B25" s="282"/>
      <c r="C25" s="31"/>
      <c r="D25" s="258"/>
      <c r="E25" s="258"/>
      <c r="F25" s="258"/>
      <c r="G25" s="258"/>
      <c r="H25" s="258"/>
      <c r="I25" s="258"/>
      <c r="J25" s="258"/>
      <c r="K25" s="258"/>
      <c r="L25" s="258"/>
      <c r="M25" s="258"/>
      <c r="N25" s="258"/>
      <c r="O25" s="258"/>
      <c r="P25" s="258"/>
      <c r="Q25" s="259"/>
      <c r="R25" s="42"/>
      <c r="S25" s="282"/>
      <c r="T25" s="31"/>
      <c r="U25" s="258"/>
      <c r="V25" s="258"/>
      <c r="W25" s="258"/>
      <c r="X25" s="258"/>
      <c r="Y25" s="258"/>
      <c r="Z25" s="258"/>
      <c r="AA25" s="258"/>
      <c r="AB25" s="258"/>
      <c r="AC25" s="258"/>
      <c r="AD25" s="258"/>
      <c r="AE25" s="258"/>
      <c r="AF25" s="258"/>
      <c r="AG25" s="258"/>
      <c r="AH25" s="258"/>
      <c r="AI25" s="258"/>
      <c r="AJ25" s="258"/>
      <c r="AK25" s="258"/>
      <c r="AL25" s="258"/>
      <c r="AM25" s="258"/>
      <c r="AN25" s="259"/>
      <c r="AO25" s="266"/>
      <c r="AP25" s="266"/>
      <c r="AQ25" s="266"/>
      <c r="AR25" s="266"/>
      <c r="AS25" s="266"/>
      <c r="AT25" s="266"/>
      <c r="AU25" s="266"/>
      <c r="AV25" s="266"/>
      <c r="AW25" s="266"/>
      <c r="AX25" s="266"/>
      <c r="AY25" s="266"/>
      <c r="AZ25" s="266"/>
      <c r="BA25" s="266"/>
      <c r="BB25" s="266"/>
      <c r="BC25" s="266"/>
      <c r="BD25" s="266"/>
      <c r="BE25" s="266"/>
      <c r="BF25" s="266"/>
      <c r="BG25" s="266"/>
      <c r="BH25" s="266"/>
      <c r="BI25" s="266"/>
      <c r="BJ25" s="266"/>
      <c r="BK25" s="266"/>
      <c r="BL25" s="266"/>
      <c r="BM25" s="266"/>
      <c r="BN25" s="266"/>
      <c r="BO25" s="266"/>
      <c r="BP25" s="266"/>
      <c r="BQ25" s="266"/>
      <c r="BR25" s="266"/>
      <c r="BS25" s="266"/>
      <c r="BT25" s="266"/>
      <c r="BU25" s="266"/>
    </row>
    <row r="26" spans="1:73" ht="15.75" customHeight="1">
      <c r="A26" s="42"/>
      <c r="B26" s="497"/>
      <c r="C26" s="31"/>
      <c r="D26" s="877" t="str">
        <f>Cover!AB35</f>
        <v>14 Test / Inspection equipment list</v>
      </c>
      <c r="E26" s="877"/>
      <c r="F26" s="877"/>
      <c r="G26" s="877"/>
      <c r="H26" s="877"/>
      <c r="I26" s="877"/>
      <c r="J26" s="877"/>
      <c r="K26" s="877"/>
      <c r="L26" s="877"/>
      <c r="M26" s="877"/>
      <c r="N26" s="877"/>
      <c r="O26" s="877"/>
      <c r="P26" s="877"/>
      <c r="Q26" s="880"/>
      <c r="R26" s="42"/>
      <c r="S26" s="497"/>
      <c r="T26" s="31"/>
      <c r="U26" s="1178" t="str">
        <f>Cover!BU35</f>
        <v xml:space="preserve">22 Approval of coating systems </v>
      </c>
      <c r="V26" s="1178"/>
      <c r="W26" s="1178"/>
      <c r="X26" s="1178"/>
      <c r="Y26" s="1178"/>
      <c r="Z26" s="1178"/>
      <c r="AA26" s="1178"/>
      <c r="AB26" s="1178"/>
      <c r="AC26" s="1178"/>
      <c r="AD26" s="1178"/>
      <c r="AE26" s="1178"/>
      <c r="AF26" s="1178"/>
      <c r="AG26" s="1178"/>
      <c r="AH26" s="1178"/>
      <c r="AI26" s="1178"/>
      <c r="AJ26" s="1178"/>
      <c r="AK26" s="1178"/>
      <c r="AL26" s="1178"/>
      <c r="AM26" s="1178"/>
      <c r="AN26" s="1179"/>
      <c r="AO26" s="266"/>
      <c r="AP26" s="266"/>
      <c r="AQ26" s="266"/>
      <c r="AR26" s="266"/>
      <c r="AS26" s="266"/>
      <c r="AT26" s="266"/>
      <c r="AU26" s="266"/>
      <c r="AV26" s="266"/>
      <c r="AW26" s="266"/>
      <c r="AX26" s="266"/>
      <c r="AY26" s="266"/>
      <c r="AZ26" s="266"/>
      <c r="BA26" s="266"/>
      <c r="BB26" s="266"/>
      <c r="BC26" s="266"/>
      <c r="BD26" s="266"/>
      <c r="BE26" s="266"/>
      <c r="BF26" s="266"/>
      <c r="BG26" s="266"/>
      <c r="BH26" s="266"/>
      <c r="BI26" s="266"/>
      <c r="BJ26" s="266"/>
      <c r="BK26" s="266"/>
      <c r="BL26" s="266"/>
      <c r="BM26" s="266"/>
      <c r="BN26" s="266"/>
      <c r="BO26" s="266"/>
      <c r="BP26" s="266"/>
      <c r="BQ26" s="266"/>
      <c r="BR26" s="266"/>
      <c r="BS26" s="266"/>
      <c r="BT26" s="266"/>
      <c r="BU26" s="266"/>
    </row>
    <row r="27" spans="1:73" ht="3" customHeight="1">
      <c r="A27" s="42"/>
      <c r="B27" s="282"/>
      <c r="C27" s="31"/>
      <c r="D27" s="258"/>
      <c r="E27" s="258"/>
      <c r="F27" s="258"/>
      <c r="G27" s="258"/>
      <c r="H27" s="258"/>
      <c r="I27" s="258"/>
      <c r="J27" s="258"/>
      <c r="K27" s="258"/>
      <c r="L27" s="258"/>
      <c r="M27" s="258"/>
      <c r="N27" s="258"/>
      <c r="O27" s="258"/>
      <c r="P27" s="258"/>
      <c r="Q27" s="259"/>
      <c r="R27" s="42"/>
      <c r="S27" s="282"/>
      <c r="T27" s="31"/>
      <c r="U27" s="258"/>
      <c r="V27" s="258"/>
      <c r="W27" s="258"/>
      <c r="X27" s="258"/>
      <c r="Y27" s="258"/>
      <c r="Z27" s="258"/>
      <c r="AA27" s="258"/>
      <c r="AB27" s="258"/>
      <c r="AC27" s="258"/>
      <c r="AD27" s="258"/>
      <c r="AE27" s="258"/>
      <c r="AF27" s="258"/>
      <c r="AG27" s="258"/>
      <c r="AH27" s="258"/>
      <c r="AI27" s="258"/>
      <c r="AJ27" s="258"/>
      <c r="AK27" s="258"/>
      <c r="AL27" s="258"/>
      <c r="AM27" s="258"/>
      <c r="AN27" s="259"/>
      <c r="AO27" s="266"/>
      <c r="AP27" s="266"/>
      <c r="AQ27" s="266"/>
      <c r="AR27" s="266"/>
      <c r="AS27" s="266"/>
      <c r="AT27" s="266"/>
      <c r="AU27" s="266"/>
      <c r="AV27" s="266"/>
      <c r="AW27" s="266"/>
      <c r="AX27" s="266"/>
      <c r="AY27" s="266"/>
      <c r="AZ27" s="266"/>
      <c r="BA27" s="266"/>
      <c r="BB27" s="266"/>
      <c r="BC27" s="266"/>
      <c r="BD27" s="266"/>
      <c r="BE27" s="266"/>
      <c r="BF27" s="266"/>
      <c r="BG27" s="266"/>
      <c r="BH27" s="266"/>
      <c r="BI27" s="266"/>
      <c r="BJ27" s="266"/>
      <c r="BK27" s="266"/>
      <c r="BL27" s="266"/>
      <c r="BM27" s="266"/>
      <c r="BN27" s="266"/>
      <c r="BO27" s="266"/>
      <c r="BP27" s="266"/>
      <c r="BQ27" s="266"/>
      <c r="BR27" s="266"/>
      <c r="BS27" s="266"/>
      <c r="BT27" s="266"/>
      <c r="BU27" s="266"/>
    </row>
    <row r="28" spans="1:73" ht="3" customHeight="1">
      <c r="A28" s="42"/>
      <c r="B28" s="282"/>
      <c r="C28" s="31"/>
      <c r="D28" s="258"/>
      <c r="E28" s="258"/>
      <c r="F28" s="258"/>
      <c r="G28" s="258"/>
      <c r="H28" s="258"/>
      <c r="I28" s="258"/>
      <c r="J28" s="258"/>
      <c r="K28" s="258"/>
      <c r="L28" s="258"/>
      <c r="M28" s="258"/>
      <c r="N28" s="258"/>
      <c r="O28" s="258"/>
      <c r="P28" s="258"/>
      <c r="Q28" s="259"/>
      <c r="R28" s="42"/>
      <c r="S28" s="282"/>
      <c r="T28" s="31"/>
      <c r="U28" s="258"/>
      <c r="V28" s="258"/>
      <c r="W28" s="258"/>
      <c r="X28" s="258"/>
      <c r="Y28" s="258"/>
      <c r="Z28" s="258"/>
      <c r="AA28" s="258"/>
      <c r="AB28" s="258"/>
      <c r="AC28" s="258"/>
      <c r="AD28" s="258"/>
      <c r="AE28" s="258"/>
      <c r="AF28" s="258"/>
      <c r="AG28" s="258"/>
      <c r="AH28" s="258"/>
      <c r="AI28" s="258"/>
      <c r="AJ28" s="258"/>
      <c r="AK28" s="258"/>
      <c r="AL28" s="258"/>
      <c r="AM28" s="258"/>
      <c r="AN28" s="259"/>
      <c r="AO28" s="266"/>
      <c r="AP28" s="266"/>
      <c r="AQ28" s="266"/>
      <c r="AR28" s="266"/>
      <c r="AS28" s="266"/>
      <c r="AT28" s="266"/>
      <c r="AU28" s="266"/>
      <c r="AV28" s="266"/>
      <c r="AW28" s="266"/>
      <c r="AX28" s="266"/>
      <c r="AY28" s="266"/>
      <c r="AZ28" s="266"/>
      <c r="BA28" s="266"/>
      <c r="BB28" s="266"/>
      <c r="BC28" s="266"/>
      <c r="BD28" s="266"/>
      <c r="BE28" s="266"/>
      <c r="BF28" s="266"/>
      <c r="BG28" s="266"/>
      <c r="BH28" s="266"/>
      <c r="BI28" s="266"/>
      <c r="BJ28" s="266"/>
      <c r="BK28" s="266"/>
      <c r="BL28" s="266"/>
      <c r="BM28" s="266"/>
      <c r="BN28" s="266"/>
      <c r="BO28" s="266"/>
      <c r="BP28" s="266"/>
      <c r="BQ28" s="266"/>
      <c r="BR28" s="266"/>
      <c r="BS28" s="266"/>
      <c r="BT28" s="266"/>
      <c r="BU28" s="266"/>
    </row>
    <row r="29" spans="1:73" ht="15.75" customHeight="1">
      <c r="A29" s="42"/>
      <c r="B29" s="497"/>
      <c r="C29" s="31"/>
      <c r="D29" s="877" t="str">
        <f>Cover!AB37</f>
        <v>15 Capability study testing equipment</v>
      </c>
      <c r="E29" s="877"/>
      <c r="F29" s="877"/>
      <c r="G29" s="877"/>
      <c r="H29" s="877"/>
      <c r="I29" s="877"/>
      <c r="J29" s="877"/>
      <c r="K29" s="877"/>
      <c r="L29" s="877"/>
      <c r="M29" s="877"/>
      <c r="N29" s="877"/>
      <c r="O29" s="877"/>
      <c r="P29" s="877"/>
      <c r="Q29" s="880"/>
      <c r="R29" s="42"/>
      <c r="S29" s="497"/>
      <c r="T29" s="31"/>
      <c r="U29" s="403">
        <f>Cover!BU37</f>
        <v>23</v>
      </c>
      <c r="V29" s="877" t="str">
        <f>Cover!BX37</f>
        <v>Other</v>
      </c>
      <c r="W29" s="877"/>
      <c r="X29" s="877"/>
      <c r="Y29" s="877"/>
      <c r="Z29" s="877"/>
      <c r="AA29" s="877"/>
      <c r="AB29" s="877"/>
      <c r="AC29" s="877"/>
      <c r="AD29" s="877"/>
      <c r="AE29" s="877"/>
      <c r="AF29" s="877"/>
      <c r="AG29" s="877"/>
      <c r="AH29" s="877"/>
      <c r="AI29" s="877"/>
      <c r="AJ29" s="877"/>
      <c r="AK29" s="877"/>
      <c r="AL29" s="877"/>
      <c r="AM29" s="877"/>
      <c r="AN29" s="880"/>
      <c r="AO29" s="266"/>
      <c r="AP29" s="266"/>
      <c r="AQ29" s="266"/>
      <c r="AR29" s="266"/>
      <c r="AS29" s="266"/>
      <c r="AT29" s="266"/>
      <c r="AU29" s="266"/>
      <c r="AV29" s="266"/>
      <c r="AW29" s="266"/>
      <c r="AX29" s="266"/>
      <c r="AY29" s="266"/>
      <c r="AZ29" s="266"/>
      <c r="BA29" s="266"/>
      <c r="BB29" s="266"/>
      <c r="BC29" s="266"/>
      <c r="BD29" s="266"/>
      <c r="BE29" s="266"/>
      <c r="BF29" s="266"/>
      <c r="BG29" s="266"/>
      <c r="BH29" s="266"/>
      <c r="BI29" s="266"/>
      <c r="BJ29" s="266"/>
      <c r="BK29" s="266"/>
      <c r="BL29" s="266"/>
      <c r="BM29" s="266"/>
      <c r="BN29" s="266"/>
      <c r="BO29" s="266"/>
      <c r="BP29" s="266"/>
      <c r="BQ29" s="266"/>
      <c r="BR29" s="266"/>
      <c r="BS29" s="266"/>
      <c r="BT29" s="266"/>
      <c r="BU29" s="266"/>
    </row>
    <row r="30" spans="1:73" ht="3" customHeight="1" thickBot="1">
      <c r="A30" s="61"/>
      <c r="B30" s="269"/>
      <c r="C30" s="269"/>
      <c r="D30" s="260"/>
      <c r="E30" s="260"/>
      <c r="F30" s="260"/>
      <c r="G30" s="260"/>
      <c r="H30" s="260"/>
      <c r="I30" s="260"/>
      <c r="J30" s="260"/>
      <c r="K30" s="260"/>
      <c r="L30" s="260"/>
      <c r="M30" s="260"/>
      <c r="N30" s="260"/>
      <c r="O30" s="260"/>
      <c r="P30" s="260"/>
      <c r="Q30" s="262"/>
      <c r="R30" s="269"/>
      <c r="S30" s="269"/>
      <c r="T30" s="269"/>
      <c r="U30" s="112"/>
      <c r="V30" s="260"/>
      <c r="W30" s="260"/>
      <c r="X30" s="260"/>
      <c r="Y30" s="260"/>
      <c r="Z30" s="260"/>
      <c r="AA30" s="260"/>
      <c r="AB30" s="260"/>
      <c r="AC30" s="260"/>
      <c r="AD30" s="260"/>
      <c r="AE30" s="260"/>
      <c r="AF30" s="260"/>
      <c r="AG30" s="260"/>
      <c r="AH30" s="260"/>
      <c r="AI30" s="260"/>
      <c r="AJ30" s="260"/>
      <c r="AK30" s="260"/>
      <c r="AL30" s="260"/>
      <c r="AM30" s="260"/>
      <c r="AN30" s="262"/>
      <c r="AO30" s="266"/>
      <c r="AP30" s="266"/>
      <c r="AQ30" s="266"/>
      <c r="AR30" s="266"/>
      <c r="AS30" s="266"/>
      <c r="AT30" s="266"/>
      <c r="AU30" s="266"/>
      <c r="AV30" s="266"/>
      <c r="AW30" s="266"/>
      <c r="AX30" s="266"/>
      <c r="AY30" s="266"/>
      <c r="AZ30" s="266"/>
      <c r="BA30" s="266"/>
      <c r="BB30" s="266"/>
      <c r="BC30" s="266"/>
      <c r="BD30" s="266"/>
      <c r="BE30" s="266"/>
      <c r="BF30" s="266"/>
      <c r="BG30" s="266"/>
      <c r="BH30" s="266"/>
      <c r="BI30" s="266"/>
      <c r="BJ30" s="266"/>
      <c r="BK30" s="266"/>
      <c r="BL30" s="266"/>
      <c r="BM30" s="266"/>
      <c r="BN30" s="266"/>
      <c r="BO30" s="266"/>
      <c r="BP30" s="266"/>
      <c r="BQ30" s="266"/>
      <c r="BR30" s="266"/>
      <c r="BS30" s="266"/>
      <c r="BT30" s="266"/>
      <c r="BU30" s="266"/>
    </row>
    <row r="31" spans="1:73" ht="3" customHeight="1" thickBot="1">
      <c r="A31" s="96"/>
      <c r="B31" s="96"/>
      <c r="C31" s="96"/>
      <c r="D31" s="95"/>
      <c r="E31" s="95"/>
      <c r="F31" s="95"/>
      <c r="G31" s="95"/>
      <c r="H31" s="95"/>
      <c r="I31" s="95"/>
      <c r="J31" s="95"/>
      <c r="K31" s="95"/>
      <c r="L31" s="95"/>
      <c r="M31" s="95"/>
      <c r="N31" s="95"/>
      <c r="O31" s="95"/>
      <c r="P31" s="95"/>
      <c r="Q31" s="95"/>
      <c r="R31" s="96"/>
      <c r="S31" s="96"/>
      <c r="T31" s="96"/>
      <c r="U31" s="258"/>
      <c r="V31" s="258"/>
      <c r="W31" s="258"/>
      <c r="X31" s="258"/>
      <c r="Y31" s="258"/>
      <c r="Z31" s="258"/>
      <c r="AA31" s="258"/>
      <c r="AB31" s="258"/>
      <c r="AC31" s="258"/>
      <c r="AD31" s="258"/>
      <c r="AE31" s="258"/>
      <c r="AF31" s="258"/>
      <c r="AG31" s="258"/>
      <c r="AH31" s="258"/>
      <c r="AI31" s="258"/>
      <c r="AJ31" s="258"/>
      <c r="AK31" s="258"/>
      <c r="AL31" s="258"/>
      <c r="AM31" s="258"/>
      <c r="AN31" s="258"/>
      <c r="AO31" s="266"/>
      <c r="AP31" s="266"/>
      <c r="AQ31" s="266"/>
      <c r="AR31" s="266"/>
      <c r="AS31" s="266"/>
      <c r="AT31" s="266"/>
      <c r="AU31" s="266"/>
      <c r="AV31" s="266"/>
      <c r="AW31" s="266"/>
      <c r="AX31" s="266"/>
      <c r="AY31" s="266"/>
      <c r="AZ31" s="266"/>
      <c r="BA31" s="266"/>
      <c r="BB31" s="266"/>
      <c r="BC31" s="266"/>
      <c r="BD31" s="266"/>
      <c r="BE31" s="266"/>
      <c r="BF31" s="266"/>
      <c r="BG31" s="266"/>
      <c r="BH31" s="266"/>
      <c r="BI31" s="266"/>
      <c r="BJ31" s="266"/>
      <c r="BK31" s="266"/>
      <c r="BL31" s="266"/>
      <c r="BM31" s="266"/>
      <c r="BN31" s="266"/>
      <c r="BO31" s="266"/>
      <c r="BP31" s="266"/>
      <c r="BQ31" s="266"/>
      <c r="BR31" s="266"/>
      <c r="BS31" s="266"/>
      <c r="BT31" s="266"/>
      <c r="BU31" s="266"/>
    </row>
    <row r="32" spans="1:73" ht="16.5" customHeight="1">
      <c r="A32" s="919" t="str">
        <f>Content!A4</f>
        <v>Supplier/Production plant:</v>
      </c>
      <c r="B32" s="920"/>
      <c r="C32" s="920"/>
      <c r="D32" s="920"/>
      <c r="E32" s="920"/>
      <c r="F32" s="920"/>
      <c r="G32" s="920"/>
      <c r="H32" s="920"/>
      <c r="I32" s="920"/>
      <c r="J32" s="920"/>
      <c r="K32" s="923">
        <f>Cover!H41</f>
        <v>0</v>
      </c>
      <c r="L32" s="923"/>
      <c r="M32" s="923"/>
      <c r="N32" s="923"/>
      <c r="O32" s="923"/>
      <c r="P32" s="923"/>
      <c r="Q32" s="924"/>
      <c r="R32" s="919" t="str">
        <f>Content!Q4</f>
        <v>Customer:</v>
      </c>
      <c r="S32" s="920"/>
      <c r="T32" s="920"/>
      <c r="U32" s="920"/>
      <c r="V32" s="920"/>
      <c r="W32" s="920"/>
      <c r="X32" s="920"/>
      <c r="Y32" s="923">
        <f>Cover!CP41</f>
        <v>0</v>
      </c>
      <c r="Z32" s="923"/>
      <c r="AA32" s="923"/>
      <c r="AB32" s="923"/>
      <c r="AC32" s="923"/>
      <c r="AD32" s="923"/>
      <c r="AE32" s="923"/>
      <c r="AF32" s="923"/>
      <c r="AG32" s="923"/>
      <c r="AH32" s="923"/>
      <c r="AI32" s="923"/>
      <c r="AJ32" s="923"/>
      <c r="AK32" s="923"/>
      <c r="AL32" s="923"/>
      <c r="AM32" s="923"/>
      <c r="AN32" s="924"/>
      <c r="AO32" s="266"/>
      <c r="AP32" s="266"/>
      <c r="AQ32" s="266"/>
      <c r="AR32" s="266"/>
      <c r="AS32" s="266"/>
      <c r="AT32" s="266"/>
      <c r="AU32" s="266"/>
      <c r="AV32" s="266"/>
      <c r="AW32" s="266"/>
      <c r="AX32" s="266"/>
      <c r="AY32" s="266"/>
      <c r="AZ32" s="266"/>
      <c r="BA32" s="266"/>
      <c r="BB32" s="266"/>
      <c r="BC32" s="266"/>
      <c r="BD32" s="266"/>
      <c r="BE32" s="266"/>
      <c r="BF32" s="266"/>
      <c r="BG32" s="266"/>
      <c r="BH32" s="266"/>
      <c r="BI32" s="266"/>
      <c r="BJ32" s="266"/>
      <c r="BK32" s="266"/>
      <c r="BL32" s="266"/>
      <c r="BM32" s="266"/>
      <c r="BN32" s="266"/>
      <c r="BO32" s="266"/>
      <c r="BP32" s="266"/>
      <c r="BQ32" s="266"/>
      <c r="BR32" s="266"/>
      <c r="BS32" s="266"/>
      <c r="BT32" s="266"/>
      <c r="BU32" s="266"/>
    </row>
    <row r="33" spans="1:73" ht="16.5" customHeight="1">
      <c r="A33" s="1176" t="str">
        <f>Content!A5</f>
        <v>ID number / DUNS:</v>
      </c>
      <c r="B33" s="1177"/>
      <c r="C33" s="1177"/>
      <c r="D33" s="1177"/>
      <c r="E33" s="1177"/>
      <c r="F33" s="1177"/>
      <c r="G33" s="1177"/>
      <c r="H33" s="1177"/>
      <c r="I33" s="925">
        <f>Cover!AM41</f>
        <v>0</v>
      </c>
      <c r="J33" s="925"/>
      <c r="K33" s="925"/>
      <c r="L33" s="925"/>
      <c r="M33" s="925"/>
      <c r="N33" s="925"/>
      <c r="O33" s="925"/>
      <c r="P33" s="925"/>
      <c r="Q33" s="926"/>
      <c r="R33" s="1176" t="str">
        <f>Content!Q5</f>
        <v>ID number:</v>
      </c>
      <c r="S33" s="1177"/>
      <c r="T33" s="1177"/>
      <c r="U33" s="1177"/>
      <c r="V33" s="1177"/>
      <c r="W33" s="1177"/>
      <c r="X33" s="1177"/>
      <c r="Y33" s="925"/>
      <c r="Z33" s="925"/>
      <c r="AA33" s="925"/>
      <c r="AB33" s="925"/>
      <c r="AC33" s="925"/>
      <c r="AD33" s="925"/>
      <c r="AE33" s="925"/>
      <c r="AF33" s="925"/>
      <c r="AG33" s="925"/>
      <c r="AH33" s="925"/>
      <c r="AI33" s="925"/>
      <c r="AJ33" s="925"/>
      <c r="AK33" s="925"/>
      <c r="AL33" s="925"/>
      <c r="AM33" s="925"/>
      <c r="AN33" s="926"/>
      <c r="AO33" s="266"/>
      <c r="AP33" s="266"/>
      <c r="AQ33" s="266"/>
      <c r="AR33" s="266"/>
      <c r="AS33" s="266"/>
      <c r="AT33" s="266"/>
      <c r="AU33" s="266"/>
      <c r="AV33" s="266"/>
      <c r="AW33" s="266"/>
      <c r="AX33" s="266"/>
      <c r="AY33" s="266"/>
      <c r="AZ33" s="266"/>
      <c r="BA33" s="266"/>
      <c r="BB33" s="266"/>
      <c r="BC33" s="266"/>
      <c r="BD33" s="266"/>
      <c r="BE33" s="266"/>
      <c r="BF33" s="266"/>
      <c r="BG33" s="266"/>
      <c r="BH33" s="266"/>
      <c r="BI33" s="266"/>
      <c r="BJ33" s="266"/>
      <c r="BK33" s="266"/>
      <c r="BL33" s="266"/>
      <c r="BM33" s="266"/>
      <c r="BN33" s="266"/>
      <c r="BO33" s="266"/>
      <c r="BP33" s="266"/>
      <c r="BQ33" s="266"/>
      <c r="BR33" s="266"/>
      <c r="BS33" s="266"/>
      <c r="BT33" s="266"/>
      <c r="BU33" s="266"/>
    </row>
    <row r="34" spans="1:73" ht="16.5" customHeight="1">
      <c r="A34" s="1176" t="str">
        <f>Content!A6</f>
        <v>Report No.:</v>
      </c>
      <c r="B34" s="1177"/>
      <c r="C34" s="1177"/>
      <c r="D34" s="1177"/>
      <c r="E34" s="1177"/>
      <c r="F34" s="1177"/>
      <c r="G34" s="925">
        <f>Cover!CP42</f>
        <v>0</v>
      </c>
      <c r="H34" s="925"/>
      <c r="I34" s="925"/>
      <c r="J34" s="925"/>
      <c r="K34" s="925"/>
      <c r="L34" s="1122" t="s">
        <v>69</v>
      </c>
      <c r="M34" s="1122"/>
      <c r="N34" s="927"/>
      <c r="O34" s="927"/>
      <c r="P34" s="927"/>
      <c r="Q34" s="928"/>
      <c r="R34" s="1176" t="str">
        <f>Content!Q6</f>
        <v>Report No.:</v>
      </c>
      <c r="S34" s="1177"/>
      <c r="T34" s="1177"/>
      <c r="U34" s="1177"/>
      <c r="V34" s="1177"/>
      <c r="W34" s="1177"/>
      <c r="X34" s="1177"/>
      <c r="Y34" s="925"/>
      <c r="Z34" s="925"/>
      <c r="AA34" s="925"/>
      <c r="AB34" s="925"/>
      <c r="AC34" s="925"/>
      <c r="AD34" s="925"/>
      <c r="AE34" s="925"/>
      <c r="AF34" s="925"/>
      <c r="AG34" s="925"/>
      <c r="AH34" s="1122" t="s">
        <v>69</v>
      </c>
      <c r="AI34" s="1122"/>
      <c r="AJ34" s="1122"/>
      <c r="AK34" s="927"/>
      <c r="AL34" s="927"/>
      <c r="AM34" s="927"/>
      <c r="AN34" s="928"/>
      <c r="AO34" s="266"/>
      <c r="AP34" s="266"/>
      <c r="AQ34" s="266"/>
      <c r="AR34" s="266"/>
      <c r="AS34" s="266"/>
      <c r="AT34" s="266"/>
      <c r="AU34" s="266"/>
      <c r="AV34" s="266"/>
      <c r="AW34" s="266"/>
      <c r="AX34" s="266"/>
      <c r="AY34" s="266"/>
      <c r="AZ34" s="266"/>
      <c r="BA34" s="266"/>
      <c r="BB34" s="266"/>
      <c r="BC34" s="266"/>
      <c r="BD34" s="266"/>
      <c r="BE34" s="266"/>
      <c r="BF34" s="266"/>
      <c r="BG34" s="266"/>
      <c r="BH34" s="266"/>
      <c r="BI34" s="266"/>
      <c r="BJ34" s="266"/>
      <c r="BK34" s="266"/>
      <c r="BL34" s="266"/>
      <c r="BM34" s="266"/>
      <c r="BN34" s="266"/>
      <c r="BO34" s="266"/>
      <c r="BP34" s="266"/>
      <c r="BQ34" s="266"/>
      <c r="BR34" s="266"/>
      <c r="BS34" s="266"/>
      <c r="BT34" s="266"/>
      <c r="BU34" s="266"/>
    </row>
    <row r="35" spans="1:73" ht="16.5" customHeight="1">
      <c r="A35" s="1009" t="str">
        <f>Content!A7</f>
        <v>Part description:</v>
      </c>
      <c r="B35" s="1010"/>
      <c r="C35" s="1010"/>
      <c r="D35" s="1010"/>
      <c r="E35" s="1010"/>
      <c r="F35" s="1010"/>
      <c r="G35" s="938">
        <f>Cover!G42</f>
        <v>0</v>
      </c>
      <c r="H35" s="938"/>
      <c r="I35" s="938"/>
      <c r="J35" s="938"/>
      <c r="K35" s="938"/>
      <c r="L35" s="938"/>
      <c r="M35" s="938"/>
      <c r="N35" s="938"/>
      <c r="O35" s="938"/>
      <c r="P35" s="938"/>
      <c r="Q35" s="939"/>
      <c r="R35" s="1009" t="str">
        <f>Content!A7</f>
        <v>Part description:</v>
      </c>
      <c r="S35" s="1010"/>
      <c r="T35" s="1010"/>
      <c r="U35" s="1010"/>
      <c r="V35" s="1010"/>
      <c r="W35" s="1010"/>
      <c r="X35" s="1010"/>
      <c r="Y35" s="938"/>
      <c r="Z35" s="938"/>
      <c r="AA35" s="938"/>
      <c r="AB35" s="938"/>
      <c r="AC35" s="938"/>
      <c r="AD35" s="938"/>
      <c r="AE35" s="938"/>
      <c r="AF35" s="938"/>
      <c r="AG35" s="938"/>
      <c r="AH35" s="938"/>
      <c r="AI35" s="938"/>
      <c r="AJ35" s="938"/>
      <c r="AK35" s="938"/>
      <c r="AL35" s="938"/>
      <c r="AM35" s="938"/>
      <c r="AN35" s="939"/>
      <c r="AO35" s="266"/>
      <c r="AP35" s="266"/>
      <c r="AQ35" s="266"/>
      <c r="AR35" s="266"/>
      <c r="AS35" s="266"/>
      <c r="AT35" s="266"/>
      <c r="AU35" s="266"/>
      <c r="AV35" s="266"/>
      <c r="AW35" s="266"/>
      <c r="AX35" s="266"/>
      <c r="AY35" s="266"/>
      <c r="AZ35" s="266"/>
      <c r="BA35" s="266"/>
      <c r="BB35" s="266"/>
      <c r="BC35" s="266"/>
      <c r="BD35" s="266"/>
      <c r="BE35" s="266"/>
      <c r="BF35" s="266"/>
      <c r="BG35" s="266"/>
      <c r="BH35" s="266"/>
      <c r="BI35" s="266"/>
      <c r="BJ35" s="266"/>
      <c r="BK35" s="266"/>
      <c r="BL35" s="266"/>
      <c r="BM35" s="266"/>
      <c r="BN35" s="266"/>
      <c r="BO35" s="266"/>
      <c r="BP35" s="266"/>
      <c r="BQ35" s="266"/>
      <c r="BR35" s="266"/>
      <c r="BS35" s="266"/>
      <c r="BT35" s="266"/>
      <c r="BU35" s="266"/>
    </row>
    <row r="36" spans="1:73" ht="16.5" customHeight="1">
      <c r="A36" s="1012" t="str">
        <f>Cover!B43</f>
        <v>Part number:</v>
      </c>
      <c r="B36" s="1013"/>
      <c r="C36" s="1013"/>
      <c r="D36" s="1013"/>
      <c r="E36" s="1013"/>
      <c r="F36" s="1013"/>
      <c r="G36" s="1119">
        <f>Cover!G43</f>
        <v>0</v>
      </c>
      <c r="H36" s="1119"/>
      <c r="I36" s="1119"/>
      <c r="J36" s="1119"/>
      <c r="K36" s="1119"/>
      <c r="L36" s="1119"/>
      <c r="M36" s="1119"/>
      <c r="N36" s="1119"/>
      <c r="O36" s="1119"/>
      <c r="P36" s="1119"/>
      <c r="Q36" s="1120"/>
      <c r="R36" s="1012" t="str">
        <f>A36</f>
        <v>Part number:</v>
      </c>
      <c r="S36" s="1013"/>
      <c r="T36" s="1013"/>
      <c r="U36" s="1013"/>
      <c r="V36" s="1013"/>
      <c r="W36" s="1013"/>
      <c r="X36" s="1013"/>
      <c r="Y36" s="1119"/>
      <c r="Z36" s="1119"/>
      <c r="AA36" s="1119"/>
      <c r="AB36" s="1119"/>
      <c r="AC36" s="1119"/>
      <c r="AD36" s="1119"/>
      <c r="AE36" s="1119"/>
      <c r="AF36" s="1119"/>
      <c r="AG36" s="1119"/>
      <c r="AH36" s="1119"/>
      <c r="AI36" s="1119"/>
      <c r="AJ36" s="1119"/>
      <c r="AK36" s="1119"/>
      <c r="AL36" s="1119"/>
      <c r="AM36" s="1119"/>
      <c r="AN36" s="1120"/>
      <c r="AO36" s="266"/>
      <c r="AP36" s="266"/>
      <c r="AQ36" s="266"/>
      <c r="AR36" s="266"/>
      <c r="AS36" s="266"/>
      <c r="AT36" s="266"/>
      <c r="AU36" s="266"/>
      <c r="AV36" s="266"/>
      <c r="AW36" s="266"/>
      <c r="AX36" s="266"/>
      <c r="AY36" s="266"/>
      <c r="AZ36" s="266"/>
      <c r="BA36" s="266"/>
      <c r="BB36" s="266"/>
      <c r="BC36" s="266"/>
      <c r="BD36" s="266"/>
      <c r="BE36" s="266"/>
      <c r="BF36" s="266"/>
      <c r="BG36" s="266"/>
      <c r="BH36" s="266"/>
      <c r="BI36" s="266"/>
      <c r="BJ36" s="266"/>
      <c r="BK36" s="266"/>
      <c r="BL36" s="266"/>
      <c r="BM36" s="266"/>
      <c r="BN36" s="266"/>
      <c r="BO36" s="266"/>
      <c r="BP36" s="266"/>
      <c r="BQ36" s="266"/>
      <c r="BR36" s="266"/>
      <c r="BS36" s="266"/>
      <c r="BT36" s="266"/>
      <c r="BU36" s="266"/>
    </row>
    <row r="37" spans="1:73" ht="16.5" customHeight="1">
      <c r="A37" s="1012" t="str">
        <f>Content!Q7</f>
        <v>Drawing number:</v>
      </c>
      <c r="B37" s="1013"/>
      <c r="C37" s="1013"/>
      <c r="D37" s="1013"/>
      <c r="E37" s="1013"/>
      <c r="F37" s="1013"/>
      <c r="G37" s="1013"/>
      <c r="H37" s="1119">
        <f>Cover!G44</f>
        <v>0</v>
      </c>
      <c r="I37" s="1119"/>
      <c r="J37" s="1119"/>
      <c r="K37" s="1119"/>
      <c r="L37" s="1119"/>
      <c r="M37" s="1119"/>
      <c r="N37" s="1119"/>
      <c r="O37" s="1119"/>
      <c r="P37" s="1119"/>
      <c r="Q37" s="1120"/>
      <c r="R37" s="1012" t="str">
        <f>Content!Q7</f>
        <v>Drawing number:</v>
      </c>
      <c r="S37" s="1013"/>
      <c r="T37" s="1013"/>
      <c r="U37" s="1013"/>
      <c r="V37" s="1013"/>
      <c r="W37" s="1013"/>
      <c r="X37" s="1013"/>
      <c r="Y37" s="1013"/>
      <c r="Z37" s="1013"/>
      <c r="AA37" s="1119"/>
      <c r="AB37" s="1119"/>
      <c r="AC37" s="1119"/>
      <c r="AD37" s="1119"/>
      <c r="AE37" s="1119"/>
      <c r="AF37" s="1119"/>
      <c r="AG37" s="1119"/>
      <c r="AH37" s="1119"/>
      <c r="AI37" s="1119"/>
      <c r="AJ37" s="1119"/>
      <c r="AK37" s="1119"/>
      <c r="AL37" s="1119"/>
      <c r="AM37" s="1119"/>
      <c r="AN37" s="1120"/>
      <c r="AO37" s="266"/>
      <c r="AP37" s="266"/>
      <c r="AQ37" s="266"/>
      <c r="AR37" s="266"/>
      <c r="AS37" s="266"/>
      <c r="AT37" s="266"/>
      <c r="AU37" s="266"/>
      <c r="AV37" s="266"/>
      <c r="AW37" s="266"/>
      <c r="AX37" s="266"/>
      <c r="AY37" s="266"/>
      <c r="AZ37" s="266"/>
      <c r="BA37" s="266"/>
      <c r="BB37" s="266"/>
      <c r="BC37" s="266"/>
      <c r="BD37" s="266"/>
      <c r="BE37" s="266"/>
      <c r="BF37" s="266"/>
      <c r="BG37" s="266"/>
      <c r="BH37" s="266"/>
      <c r="BI37" s="266"/>
      <c r="BJ37" s="266"/>
      <c r="BK37" s="266"/>
      <c r="BL37" s="266"/>
      <c r="BM37" s="266"/>
      <c r="BN37" s="266"/>
      <c r="BO37" s="266"/>
      <c r="BP37" s="266"/>
      <c r="BQ37" s="266"/>
      <c r="BR37" s="266"/>
      <c r="BS37" s="266"/>
      <c r="BT37" s="266"/>
      <c r="BU37" s="266"/>
    </row>
    <row r="38" spans="1:73" ht="16.5" customHeight="1" thickBot="1">
      <c r="A38" s="1175" t="str">
        <f>Content!Q8</f>
        <v>Issue / Date:</v>
      </c>
      <c r="B38" s="900"/>
      <c r="C38" s="900"/>
      <c r="D38" s="900"/>
      <c r="E38" s="900"/>
      <c r="F38" s="900"/>
      <c r="G38" s="940">
        <f>Cover!G45</f>
        <v>0</v>
      </c>
      <c r="H38" s="940"/>
      <c r="I38" s="940"/>
      <c r="J38" s="940"/>
      <c r="K38" s="940"/>
      <c r="L38" s="940"/>
      <c r="M38" s="940"/>
      <c r="N38" s="940"/>
      <c r="O38" s="940"/>
      <c r="P38" s="940"/>
      <c r="Q38" s="941"/>
      <c r="R38" s="1175" t="str">
        <f>Content!Q8</f>
        <v>Issue / Date:</v>
      </c>
      <c r="S38" s="900"/>
      <c r="T38" s="900"/>
      <c r="U38" s="900"/>
      <c r="V38" s="900"/>
      <c r="W38" s="900"/>
      <c r="X38" s="900"/>
      <c r="Y38" s="940"/>
      <c r="Z38" s="940"/>
      <c r="AA38" s="940"/>
      <c r="AB38" s="940"/>
      <c r="AC38" s="940"/>
      <c r="AD38" s="940"/>
      <c r="AE38" s="940"/>
      <c r="AF38" s="940"/>
      <c r="AG38" s="940"/>
      <c r="AH38" s="940"/>
      <c r="AI38" s="940"/>
      <c r="AJ38" s="940"/>
      <c r="AK38" s="940"/>
      <c r="AL38" s="940"/>
      <c r="AM38" s="940"/>
      <c r="AN38" s="941"/>
      <c r="AO38" s="266"/>
      <c r="AP38" s="266"/>
      <c r="AQ38" s="266"/>
      <c r="AR38" s="266"/>
      <c r="AS38" s="266"/>
      <c r="AT38" s="266"/>
      <c r="AU38" s="266"/>
      <c r="AV38" s="266"/>
      <c r="AW38" s="266"/>
      <c r="AX38" s="266"/>
      <c r="AY38" s="266"/>
      <c r="AZ38" s="266"/>
      <c r="BA38" s="266"/>
      <c r="BB38" s="266"/>
      <c r="BC38" s="266"/>
      <c r="BD38" s="266"/>
      <c r="BE38" s="266"/>
      <c r="BF38" s="266"/>
      <c r="BG38" s="266"/>
      <c r="BH38" s="266"/>
      <c r="BI38" s="266"/>
      <c r="BJ38" s="266"/>
      <c r="BK38" s="266"/>
      <c r="BL38" s="266"/>
      <c r="BM38" s="266"/>
      <c r="BN38" s="266"/>
      <c r="BO38" s="266"/>
      <c r="BP38" s="266"/>
      <c r="BQ38" s="266"/>
      <c r="BR38" s="266"/>
      <c r="BS38" s="266"/>
      <c r="BT38" s="266"/>
      <c r="BU38" s="266"/>
    </row>
    <row r="39" spans="1:73" ht="9" customHeight="1" thickBot="1">
      <c r="A39" s="96"/>
      <c r="B39" s="96"/>
      <c r="C39" s="96"/>
      <c r="D39" s="258"/>
      <c r="E39" s="258"/>
      <c r="F39" s="258"/>
      <c r="G39" s="258"/>
      <c r="H39" s="258"/>
      <c r="I39" s="258"/>
      <c r="J39" s="258"/>
      <c r="K39" s="258"/>
      <c r="L39" s="258"/>
      <c r="M39" s="258"/>
      <c r="N39" s="258"/>
      <c r="O39" s="258"/>
      <c r="P39" s="258"/>
      <c r="Q39" s="258"/>
      <c r="R39" s="96"/>
      <c r="S39" s="96"/>
      <c r="T39" s="96"/>
      <c r="U39" s="258"/>
      <c r="V39" s="258"/>
      <c r="W39" s="258"/>
      <c r="X39" s="258"/>
      <c r="Y39" s="258"/>
      <c r="Z39" s="258"/>
      <c r="AA39" s="258"/>
      <c r="AB39" s="258"/>
      <c r="AC39" s="258"/>
      <c r="AD39" s="258"/>
      <c r="AE39" s="258"/>
      <c r="AF39" s="258"/>
      <c r="AG39" s="258"/>
      <c r="AH39" s="258"/>
      <c r="AI39" s="258"/>
      <c r="AJ39" s="258"/>
      <c r="AK39" s="93"/>
      <c r="AL39" s="93"/>
      <c r="AM39" s="93"/>
      <c r="AN39" s="93"/>
      <c r="AO39" s="266"/>
      <c r="AP39" s="266"/>
      <c r="AQ39" s="266"/>
      <c r="AR39" s="266"/>
      <c r="AS39" s="266"/>
      <c r="AT39" s="266"/>
      <c r="AU39" s="266"/>
      <c r="AV39" s="266"/>
      <c r="AW39" s="266"/>
      <c r="AX39" s="266"/>
      <c r="AY39" s="266"/>
      <c r="AZ39" s="266"/>
      <c r="BA39" s="266"/>
      <c r="BB39" s="266"/>
      <c r="BC39" s="266"/>
      <c r="BD39" s="266"/>
      <c r="BE39" s="266"/>
      <c r="BF39" s="266"/>
      <c r="BG39" s="266"/>
      <c r="BH39" s="266"/>
      <c r="BI39" s="266"/>
      <c r="BJ39" s="266"/>
      <c r="BK39" s="266"/>
      <c r="BL39" s="266"/>
      <c r="BM39" s="266"/>
      <c r="BN39" s="266"/>
      <c r="BO39" s="266"/>
      <c r="BP39" s="266"/>
      <c r="BQ39" s="266"/>
      <c r="BR39" s="266"/>
      <c r="BS39" s="266"/>
      <c r="BT39" s="266"/>
      <c r="BU39" s="266"/>
    </row>
    <row r="40" spans="1:73" ht="16.5" customHeight="1" thickBot="1">
      <c r="A40" s="1190" t="str">
        <f>VLOOKUP("checklistpfmea",Translations!$A:$T,MATCH(Cover!DR19,Translations!A2:P2,0),0)</f>
        <v>Checklist / general questions to P-FMEA</v>
      </c>
      <c r="B40" s="1190"/>
      <c r="C40" s="1190"/>
      <c r="D40" s="1190"/>
      <c r="E40" s="1190"/>
      <c r="F40" s="1190"/>
      <c r="G40" s="1190"/>
      <c r="H40" s="1190"/>
      <c r="I40" s="1190"/>
      <c r="J40" s="1190"/>
      <c r="K40" s="1190"/>
      <c r="L40" s="1190"/>
      <c r="M40" s="1190"/>
      <c r="N40" s="1190"/>
      <c r="O40" s="1190"/>
      <c r="P40" s="1190"/>
      <c r="Q40" s="1190"/>
      <c r="R40" s="1190"/>
      <c r="S40" s="1190"/>
      <c r="T40" s="1190"/>
      <c r="U40" s="1190"/>
      <c r="V40" s="1190"/>
      <c r="W40" s="1190"/>
      <c r="X40" s="1190"/>
      <c r="Y40" s="1190"/>
      <c r="Z40" s="1190"/>
      <c r="AA40" s="1190"/>
      <c r="AB40" s="1190"/>
      <c r="AC40" s="1190"/>
      <c r="AD40" s="1190"/>
      <c r="AE40" s="1190"/>
      <c r="AF40" s="1190"/>
      <c r="AG40" s="1190"/>
      <c r="AH40" s="1190"/>
      <c r="AI40" s="1190"/>
      <c r="AJ40" s="1191"/>
      <c r="AK40" s="1187" t="str">
        <f>VLOOKUP("yes",Translations!$A:$T,MATCH(Cover!DR19,Translations!A2:P2,0),0)</f>
        <v>yes</v>
      </c>
      <c r="AL40" s="1188"/>
      <c r="AM40" s="1188" t="str">
        <f>VLOOKUP("no",Translations!$A:$T,MATCH(Cover!DR19,Translations!A2:P2,0),0)</f>
        <v>no</v>
      </c>
      <c r="AN40" s="1189"/>
      <c r="AO40" s="266"/>
      <c r="AP40" s="266"/>
      <c r="AQ40" s="266"/>
      <c r="AR40" s="266"/>
      <c r="AS40" s="266"/>
      <c r="AT40" s="266"/>
      <c r="AU40" s="266"/>
      <c r="AV40" s="266"/>
      <c r="AW40" s="266"/>
      <c r="AX40" s="266"/>
      <c r="AY40" s="266"/>
      <c r="AZ40" s="266"/>
      <c r="BA40" s="266"/>
      <c r="BB40" s="266"/>
      <c r="BC40" s="266"/>
      <c r="BD40" s="266"/>
      <c r="BE40" s="266"/>
      <c r="BF40" s="266"/>
      <c r="BG40" s="266"/>
      <c r="BH40" s="266"/>
      <c r="BI40" s="266"/>
      <c r="BJ40" s="266"/>
      <c r="BK40" s="266"/>
      <c r="BL40" s="266"/>
      <c r="BM40" s="266"/>
      <c r="BN40" s="266"/>
      <c r="BO40" s="266"/>
      <c r="BP40" s="266"/>
      <c r="BQ40" s="266"/>
      <c r="BR40" s="266"/>
      <c r="BS40" s="266"/>
      <c r="BT40" s="266"/>
      <c r="BU40" s="266"/>
    </row>
    <row r="41" spans="1:73" ht="30.75" customHeight="1">
      <c r="A41" s="1181" t="str">
        <f>VLOOKUP("pfmeavorhanden",Translations!$A:$T,MATCH(Cover!DR19,Translations!A2:P2,0),0)</f>
        <v>Is a P-FMEA available for the latest drawing?</v>
      </c>
      <c r="B41" s="1182"/>
      <c r="C41" s="1182"/>
      <c r="D41" s="1183"/>
      <c r="E41" s="1183"/>
      <c r="F41" s="1183"/>
      <c r="G41" s="1183"/>
      <c r="H41" s="1183"/>
      <c r="I41" s="1183"/>
      <c r="J41" s="1183"/>
      <c r="K41" s="1183"/>
      <c r="L41" s="1183"/>
      <c r="M41" s="1183"/>
      <c r="N41" s="1183"/>
      <c r="O41" s="1183"/>
      <c r="P41" s="1183"/>
      <c r="Q41" s="1183"/>
      <c r="R41" s="1183"/>
      <c r="S41" s="1183"/>
      <c r="T41" s="1183"/>
      <c r="U41" s="1183"/>
      <c r="V41" s="1183"/>
      <c r="W41" s="1183"/>
      <c r="X41" s="1183"/>
      <c r="Y41" s="1183"/>
      <c r="Z41" s="1183"/>
      <c r="AA41" s="1183"/>
      <c r="AB41" s="1183"/>
      <c r="AC41" s="1183"/>
      <c r="AD41" s="1183"/>
      <c r="AE41" s="1183"/>
      <c r="AF41" s="1183"/>
      <c r="AG41" s="1183"/>
      <c r="AH41" s="1183"/>
      <c r="AI41" s="1183"/>
      <c r="AJ41" s="1183"/>
      <c r="AK41" s="1171"/>
      <c r="AL41" s="1171"/>
      <c r="AM41" s="1171"/>
      <c r="AN41" s="1180"/>
      <c r="AO41" s="266"/>
      <c r="AP41" s="266"/>
      <c r="AQ41" s="266"/>
      <c r="AR41" s="266"/>
      <c r="AS41" s="266"/>
      <c r="AT41" s="266"/>
      <c r="AU41" s="266"/>
      <c r="AV41" s="266"/>
      <c r="AW41" s="266"/>
      <c r="AX41" s="266"/>
      <c r="AY41" s="266"/>
      <c r="AZ41" s="266"/>
      <c r="BA41" s="266"/>
      <c r="BB41" s="266"/>
      <c r="BC41" s="266"/>
      <c r="BD41" s="266"/>
      <c r="BE41" s="266"/>
      <c r="BF41" s="266"/>
      <c r="BG41" s="266"/>
      <c r="BH41" s="266"/>
      <c r="BI41" s="266"/>
      <c r="BJ41" s="266"/>
      <c r="BK41" s="266"/>
      <c r="BL41" s="266"/>
      <c r="BM41" s="266"/>
      <c r="BN41" s="266"/>
      <c r="BO41" s="266"/>
      <c r="BP41" s="266"/>
      <c r="BQ41" s="266"/>
      <c r="BR41" s="266"/>
      <c r="BS41" s="266"/>
      <c r="BT41" s="266"/>
      <c r="BU41" s="266"/>
    </row>
    <row r="42" spans="1:73" ht="30.75" customHeight="1">
      <c r="A42" s="1172" t="str">
        <f>VLOOKUP("pfmeavorgaben",Translations!$A:$T,MATCH(Cover!DR19,Translations!A2:P2,0),0)</f>
        <v>Was P-FMEA done according to the requirements from FORD/GM/Chrysler or VDA?</v>
      </c>
      <c r="B42" s="1173"/>
      <c r="C42" s="1173"/>
      <c r="D42" s="1174"/>
      <c r="E42" s="1174"/>
      <c r="F42" s="1174"/>
      <c r="G42" s="1174"/>
      <c r="H42" s="1174"/>
      <c r="I42" s="1174"/>
      <c r="J42" s="1174"/>
      <c r="K42" s="1174"/>
      <c r="L42" s="1174"/>
      <c r="M42" s="1174"/>
      <c r="N42" s="1174"/>
      <c r="O42" s="1174"/>
      <c r="P42" s="1174"/>
      <c r="Q42" s="1174"/>
      <c r="R42" s="1174"/>
      <c r="S42" s="1174"/>
      <c r="T42" s="1174"/>
      <c r="U42" s="1174"/>
      <c r="V42" s="1174"/>
      <c r="W42" s="1174"/>
      <c r="X42" s="1174"/>
      <c r="Y42" s="1174"/>
      <c r="Z42" s="1174"/>
      <c r="AA42" s="1174"/>
      <c r="AB42" s="1174"/>
      <c r="AC42" s="1174"/>
      <c r="AD42" s="1174"/>
      <c r="AE42" s="1174"/>
      <c r="AF42" s="1174"/>
      <c r="AG42" s="1174"/>
      <c r="AH42" s="1174"/>
      <c r="AI42" s="1174"/>
      <c r="AJ42" s="1174"/>
      <c r="AK42" s="1171"/>
      <c r="AL42" s="1171"/>
      <c r="AM42" s="1171"/>
      <c r="AN42" s="1180"/>
      <c r="AO42" s="266"/>
      <c r="AP42" s="266"/>
      <c r="AQ42" s="266"/>
      <c r="AR42" s="266"/>
      <c r="AS42" s="266"/>
      <c r="AT42" s="266"/>
      <c r="AU42" s="266"/>
      <c r="AV42" s="266"/>
      <c r="AW42" s="266"/>
      <c r="AX42" s="266"/>
      <c r="AY42" s="266"/>
      <c r="AZ42" s="266"/>
      <c r="BA42" s="266"/>
      <c r="BB42" s="266"/>
      <c r="BC42" s="266"/>
      <c r="BD42" s="266"/>
      <c r="BE42" s="266"/>
      <c r="BF42" s="266"/>
      <c r="BG42" s="266"/>
      <c r="BH42" s="266"/>
      <c r="BI42" s="266"/>
      <c r="BJ42" s="266"/>
      <c r="BK42" s="266"/>
      <c r="BL42" s="266"/>
      <c r="BM42" s="266"/>
      <c r="BN42" s="266"/>
      <c r="BO42" s="266"/>
      <c r="BP42" s="266"/>
      <c r="BQ42" s="266"/>
      <c r="BR42" s="266"/>
      <c r="BS42" s="266"/>
      <c r="BT42" s="266"/>
      <c r="BU42" s="266"/>
    </row>
    <row r="43" spans="1:73" ht="30.75" customHeight="1">
      <c r="A43" s="1172" t="str">
        <f>VLOOKUP("pfmeateam",Translations!$A:$T,MATCH(Cover!DR19,Translations!A2:P2,0),0)</f>
        <v>Has a cross-functional FMEA team been formed to do the FMEA?</v>
      </c>
      <c r="B43" s="1173"/>
      <c r="C43" s="1173"/>
      <c r="D43" s="1174"/>
      <c r="E43" s="1174"/>
      <c r="F43" s="1174"/>
      <c r="G43" s="1174"/>
      <c r="H43" s="1174"/>
      <c r="I43" s="1174"/>
      <c r="J43" s="1174"/>
      <c r="K43" s="1174"/>
      <c r="L43" s="1174"/>
      <c r="M43" s="1174"/>
      <c r="N43" s="1174"/>
      <c r="O43" s="1174"/>
      <c r="P43" s="1174"/>
      <c r="Q43" s="1174"/>
      <c r="R43" s="1174"/>
      <c r="S43" s="1174"/>
      <c r="T43" s="1174"/>
      <c r="U43" s="1174"/>
      <c r="V43" s="1174"/>
      <c r="W43" s="1174"/>
      <c r="X43" s="1174"/>
      <c r="Y43" s="1174"/>
      <c r="Z43" s="1174"/>
      <c r="AA43" s="1174"/>
      <c r="AB43" s="1174"/>
      <c r="AC43" s="1174"/>
      <c r="AD43" s="1174"/>
      <c r="AE43" s="1174"/>
      <c r="AF43" s="1174"/>
      <c r="AG43" s="1174"/>
      <c r="AH43" s="1174"/>
      <c r="AI43" s="1174"/>
      <c r="AJ43" s="1174"/>
      <c r="AK43" s="1171"/>
      <c r="AL43" s="1171"/>
      <c r="AM43" s="1171"/>
      <c r="AN43" s="1180"/>
      <c r="AO43" s="266"/>
      <c r="AP43" s="266"/>
      <c r="AQ43" s="266"/>
      <c r="AR43" s="266"/>
      <c r="AS43" s="266"/>
      <c r="AT43" s="266"/>
      <c r="AU43" s="266"/>
      <c r="AV43" s="266"/>
      <c r="AW43" s="266"/>
      <c r="AX43" s="266"/>
      <c r="AY43" s="266"/>
      <c r="AZ43" s="266"/>
      <c r="BA43" s="266"/>
      <c r="BB43" s="266"/>
      <c r="BC43" s="266"/>
      <c r="BD43" s="266"/>
      <c r="BE43" s="266"/>
      <c r="BF43" s="266"/>
      <c r="BG43" s="266"/>
      <c r="BH43" s="266"/>
      <c r="BI43" s="266"/>
      <c r="BJ43" s="266"/>
      <c r="BK43" s="266"/>
      <c r="BL43" s="266"/>
      <c r="BM43" s="266"/>
      <c r="BN43" s="266"/>
      <c r="BO43" s="266"/>
      <c r="BP43" s="266"/>
      <c r="BQ43" s="266"/>
      <c r="BR43" s="266"/>
      <c r="BS43" s="266"/>
      <c r="BT43" s="266"/>
      <c r="BU43" s="266"/>
    </row>
    <row r="44" spans="1:73" ht="30.75" customHeight="1">
      <c r="A44" s="1172" t="str">
        <f>VLOOKUP("mhinput",Translations!$A:$T,MATCH(Cover!DR19,Translations!A2:P2,0),0)</f>
        <v>M+H input / severity and Special Characteristics identification has been applied?</v>
      </c>
      <c r="B44" s="1173"/>
      <c r="C44" s="1173"/>
      <c r="D44" s="1174"/>
      <c r="E44" s="1174"/>
      <c r="F44" s="1174"/>
      <c r="G44" s="1174"/>
      <c r="H44" s="1174"/>
      <c r="I44" s="1174"/>
      <c r="J44" s="1174"/>
      <c r="K44" s="1174"/>
      <c r="L44" s="1174"/>
      <c r="M44" s="1174"/>
      <c r="N44" s="1174"/>
      <c r="O44" s="1174"/>
      <c r="P44" s="1174"/>
      <c r="Q44" s="1174"/>
      <c r="R44" s="1174"/>
      <c r="S44" s="1174"/>
      <c r="T44" s="1174"/>
      <c r="U44" s="1174"/>
      <c r="V44" s="1174"/>
      <c r="W44" s="1174"/>
      <c r="X44" s="1174"/>
      <c r="Y44" s="1174"/>
      <c r="Z44" s="1174"/>
      <c r="AA44" s="1174"/>
      <c r="AB44" s="1174"/>
      <c r="AC44" s="1174"/>
      <c r="AD44" s="1174"/>
      <c r="AE44" s="1174"/>
      <c r="AF44" s="1174"/>
      <c r="AG44" s="1174"/>
      <c r="AH44" s="1174"/>
      <c r="AI44" s="1174"/>
      <c r="AJ44" s="1174"/>
      <c r="AK44" s="1171"/>
      <c r="AL44" s="1171"/>
      <c r="AM44" s="1171"/>
      <c r="AN44" s="1180"/>
      <c r="AO44" s="266"/>
      <c r="AP44" s="266"/>
      <c r="AQ44" s="266"/>
      <c r="AR44" s="266"/>
      <c r="AS44" s="266"/>
      <c r="AT44" s="266"/>
      <c r="AU44" s="266"/>
      <c r="AV44" s="266"/>
      <c r="AW44" s="266"/>
      <c r="AX44" s="266"/>
      <c r="AY44" s="266"/>
      <c r="AZ44" s="266"/>
      <c r="BA44" s="266"/>
      <c r="BB44" s="266"/>
      <c r="BC44" s="266"/>
      <c r="BD44" s="266"/>
      <c r="BE44" s="266"/>
      <c r="BF44" s="266"/>
      <c r="BG44" s="266"/>
      <c r="BH44" s="266"/>
      <c r="BI44" s="266"/>
      <c r="BJ44" s="266"/>
      <c r="BK44" s="266"/>
      <c r="BL44" s="266"/>
      <c r="BM44" s="266"/>
      <c r="BN44" s="266"/>
      <c r="BO44" s="266"/>
      <c r="BP44" s="266"/>
      <c r="BQ44" s="266"/>
      <c r="BR44" s="266"/>
      <c r="BS44" s="266"/>
      <c r="BT44" s="266"/>
      <c r="BU44" s="266"/>
    </row>
    <row r="45" spans="1:73" ht="30.75" customHeight="1">
      <c r="A45" s="1172" t="str">
        <f>VLOOKUP("höhererpzwerte",Translations!$A:$T,MATCH(Cover!DR19,Translations!A2:P2,0),0)</f>
        <v>Were actions planned and implemented for higher RPN values?</v>
      </c>
      <c r="B45" s="1173"/>
      <c r="C45" s="1173"/>
      <c r="D45" s="1174"/>
      <c r="E45" s="1174"/>
      <c r="F45" s="1174"/>
      <c r="G45" s="1174"/>
      <c r="H45" s="1174"/>
      <c r="I45" s="1174"/>
      <c r="J45" s="1174"/>
      <c r="K45" s="1174"/>
      <c r="L45" s="1174"/>
      <c r="M45" s="1174"/>
      <c r="N45" s="1174"/>
      <c r="O45" s="1174"/>
      <c r="P45" s="1174"/>
      <c r="Q45" s="1174"/>
      <c r="R45" s="1174"/>
      <c r="S45" s="1174"/>
      <c r="T45" s="1174"/>
      <c r="U45" s="1174"/>
      <c r="V45" s="1174"/>
      <c r="W45" s="1174"/>
      <c r="X45" s="1174"/>
      <c r="Y45" s="1174"/>
      <c r="Z45" s="1174"/>
      <c r="AA45" s="1174"/>
      <c r="AB45" s="1174"/>
      <c r="AC45" s="1174"/>
      <c r="AD45" s="1174"/>
      <c r="AE45" s="1174"/>
      <c r="AF45" s="1174"/>
      <c r="AG45" s="1174"/>
      <c r="AH45" s="1174"/>
      <c r="AI45" s="1174"/>
      <c r="AJ45" s="1174"/>
      <c r="AK45" s="1171"/>
      <c r="AL45" s="1171"/>
      <c r="AM45" s="1171"/>
      <c r="AN45" s="1180"/>
      <c r="AO45" s="266"/>
      <c r="AP45" s="266"/>
      <c r="AQ45" s="266"/>
      <c r="AR45" s="266"/>
      <c r="AS45" s="266"/>
      <c r="AT45" s="266"/>
      <c r="AU45" s="266"/>
      <c r="AV45" s="266"/>
      <c r="AW45" s="266"/>
      <c r="AX45" s="266"/>
      <c r="AY45" s="266"/>
      <c r="AZ45" s="266"/>
      <c r="BA45" s="266"/>
      <c r="BB45" s="266"/>
      <c r="BC45" s="266"/>
      <c r="BD45" s="266"/>
      <c r="BE45" s="266"/>
      <c r="BF45" s="266"/>
      <c r="BG45" s="266"/>
      <c r="BH45" s="266"/>
      <c r="BI45" s="266"/>
      <c r="BJ45" s="266"/>
      <c r="BK45" s="266"/>
      <c r="BL45" s="266"/>
      <c r="BM45" s="266"/>
      <c r="BN45" s="266"/>
      <c r="BO45" s="266"/>
      <c r="BP45" s="266"/>
      <c r="BQ45" s="266"/>
      <c r="BR45" s="266"/>
      <c r="BS45" s="266"/>
      <c r="BT45" s="266"/>
      <c r="BU45" s="266"/>
    </row>
    <row r="46" spans="1:73" ht="30.75" customHeight="1">
      <c r="A46" s="1172" t="str">
        <f>VLOOKUP("pfmeaaktualisiert",Translations!$A:$T,MATCH(Cover!DR19,Translations!A2:P2,0),0)</f>
        <v>Was the FMEA updated after recommended actions were implemented?</v>
      </c>
      <c r="B46" s="1173"/>
      <c r="C46" s="1173"/>
      <c r="D46" s="1174"/>
      <c r="E46" s="1174"/>
      <c r="F46" s="1174"/>
      <c r="G46" s="1174"/>
      <c r="H46" s="1174"/>
      <c r="I46" s="1174"/>
      <c r="J46" s="1174"/>
      <c r="K46" s="1174"/>
      <c r="L46" s="1174"/>
      <c r="M46" s="1174"/>
      <c r="N46" s="1174"/>
      <c r="O46" s="1174"/>
      <c r="P46" s="1174"/>
      <c r="Q46" s="1174"/>
      <c r="R46" s="1174"/>
      <c r="S46" s="1174"/>
      <c r="T46" s="1174"/>
      <c r="U46" s="1174"/>
      <c r="V46" s="1174"/>
      <c r="W46" s="1174"/>
      <c r="X46" s="1174"/>
      <c r="Y46" s="1174"/>
      <c r="Z46" s="1174"/>
      <c r="AA46" s="1174"/>
      <c r="AB46" s="1174"/>
      <c r="AC46" s="1174"/>
      <c r="AD46" s="1174"/>
      <c r="AE46" s="1174"/>
      <c r="AF46" s="1174"/>
      <c r="AG46" s="1174"/>
      <c r="AH46" s="1174"/>
      <c r="AI46" s="1174"/>
      <c r="AJ46" s="1174"/>
      <c r="AK46" s="1171"/>
      <c r="AL46" s="1171"/>
      <c r="AM46" s="1171"/>
      <c r="AN46" s="1180"/>
      <c r="AO46" s="266"/>
      <c r="AP46" s="266"/>
      <c r="AQ46" s="266"/>
      <c r="AR46" s="266"/>
      <c r="AS46" s="266"/>
      <c r="AT46" s="266"/>
      <c r="AU46" s="266"/>
      <c r="AV46" s="266"/>
      <c r="AW46" s="266"/>
      <c r="AX46" s="266"/>
      <c r="AY46" s="266"/>
      <c r="AZ46" s="266"/>
      <c r="BA46" s="266"/>
      <c r="BB46" s="266"/>
      <c r="BC46" s="266"/>
      <c r="BD46" s="266"/>
      <c r="BE46" s="266"/>
      <c r="BF46" s="266"/>
      <c r="BG46" s="266"/>
      <c r="BH46" s="266"/>
      <c r="BI46" s="266"/>
      <c r="BJ46" s="266"/>
      <c r="BK46" s="266"/>
      <c r="BL46" s="266"/>
      <c r="BM46" s="266"/>
      <c r="BN46" s="266"/>
      <c r="BO46" s="266"/>
      <c r="BP46" s="266"/>
      <c r="BQ46" s="266"/>
      <c r="BR46" s="266"/>
      <c r="BS46" s="266"/>
      <c r="BT46" s="266"/>
      <c r="BU46" s="266"/>
    </row>
    <row r="47" spans="1:73" ht="30.75" customHeight="1">
      <c r="A47" s="1172" t="str">
        <f>VLOOKUP("bauteilerfahrung",Translations!$A:$T,MATCH(Cover!DR19,Translations!A2:P2,0),0)</f>
        <v>Has input / experience from similar parts been used?</v>
      </c>
      <c r="B47" s="1173"/>
      <c r="C47" s="1173"/>
      <c r="D47" s="1174"/>
      <c r="E47" s="1174"/>
      <c r="F47" s="1174"/>
      <c r="G47" s="1174"/>
      <c r="H47" s="1174"/>
      <c r="I47" s="1174"/>
      <c r="J47" s="1174"/>
      <c r="K47" s="1174"/>
      <c r="L47" s="1174"/>
      <c r="M47" s="1174"/>
      <c r="N47" s="1174"/>
      <c r="O47" s="1174"/>
      <c r="P47" s="1174"/>
      <c r="Q47" s="1174"/>
      <c r="R47" s="1174"/>
      <c r="S47" s="1174"/>
      <c r="T47" s="1174"/>
      <c r="U47" s="1174"/>
      <c r="V47" s="1174"/>
      <c r="W47" s="1174"/>
      <c r="X47" s="1174"/>
      <c r="Y47" s="1174"/>
      <c r="Z47" s="1174"/>
      <c r="AA47" s="1174"/>
      <c r="AB47" s="1174"/>
      <c r="AC47" s="1174"/>
      <c r="AD47" s="1174"/>
      <c r="AE47" s="1174"/>
      <c r="AF47" s="1174"/>
      <c r="AG47" s="1174"/>
      <c r="AH47" s="1174"/>
      <c r="AI47" s="1174"/>
      <c r="AJ47" s="1174"/>
      <c r="AK47" s="1171"/>
      <c r="AL47" s="1171"/>
      <c r="AM47" s="1171"/>
      <c r="AN47" s="1180"/>
      <c r="AO47" s="266"/>
      <c r="AP47" s="266"/>
      <c r="AQ47" s="266"/>
      <c r="AR47" s="266"/>
      <c r="AS47" s="266"/>
      <c r="AT47" s="266"/>
      <c r="AU47" s="266"/>
      <c r="AV47" s="266"/>
      <c r="AW47" s="266"/>
      <c r="AX47" s="266"/>
      <c r="AY47" s="266"/>
      <c r="AZ47" s="266"/>
      <c r="BA47" s="266"/>
      <c r="BB47" s="266"/>
      <c r="BC47" s="266"/>
      <c r="BD47" s="266"/>
      <c r="BE47" s="266"/>
      <c r="BF47" s="266"/>
      <c r="BG47" s="266"/>
      <c r="BH47" s="266"/>
      <c r="BI47" s="266"/>
      <c r="BJ47" s="266"/>
      <c r="BK47" s="266"/>
      <c r="BL47" s="266"/>
      <c r="BM47" s="266"/>
      <c r="BN47" s="266"/>
      <c r="BO47" s="266"/>
      <c r="BP47" s="266"/>
      <c r="BQ47" s="266"/>
      <c r="BR47" s="266"/>
      <c r="BS47" s="266"/>
      <c r="BT47" s="266"/>
      <c r="BU47" s="266"/>
    </row>
    <row r="48" spans="1:73" ht="30.75" customHeight="1">
      <c r="A48" s="1172" t="str">
        <f>VLOOKUP("präventivemassnahmen",Translations!$A:$T,MATCH(Cover!DR19,Translations!A2:P2,0),0)</f>
        <v>Have preventive control actions, instead of detection actions, been considered where applicable (e.g. POKA-YOKE)?</v>
      </c>
      <c r="B48" s="1173"/>
      <c r="C48" s="1173"/>
      <c r="D48" s="1174"/>
      <c r="E48" s="1174"/>
      <c r="F48" s="1174"/>
      <c r="G48" s="1174"/>
      <c r="H48" s="1174"/>
      <c r="I48" s="1174"/>
      <c r="J48" s="1174"/>
      <c r="K48" s="1174"/>
      <c r="L48" s="1174"/>
      <c r="M48" s="1174"/>
      <c r="N48" s="1174"/>
      <c r="O48" s="1174"/>
      <c r="P48" s="1174"/>
      <c r="Q48" s="1174"/>
      <c r="R48" s="1174"/>
      <c r="S48" s="1174"/>
      <c r="T48" s="1174"/>
      <c r="U48" s="1174"/>
      <c r="V48" s="1174"/>
      <c r="W48" s="1174"/>
      <c r="X48" s="1174"/>
      <c r="Y48" s="1174"/>
      <c r="Z48" s="1174"/>
      <c r="AA48" s="1174"/>
      <c r="AB48" s="1174"/>
      <c r="AC48" s="1174"/>
      <c r="AD48" s="1174"/>
      <c r="AE48" s="1174"/>
      <c r="AF48" s="1174"/>
      <c r="AG48" s="1174"/>
      <c r="AH48" s="1174"/>
      <c r="AI48" s="1174"/>
      <c r="AJ48" s="1174"/>
      <c r="AK48" s="1171"/>
      <c r="AL48" s="1171"/>
      <c r="AM48" s="1171"/>
      <c r="AN48" s="1180"/>
      <c r="AO48" s="266"/>
      <c r="AP48" s="266"/>
      <c r="AQ48" s="266"/>
      <c r="AR48" s="266"/>
      <c r="AS48" s="266"/>
      <c r="AT48" s="266"/>
      <c r="AU48" s="266"/>
      <c r="AV48" s="266"/>
      <c r="AW48" s="272"/>
      <c r="AX48" s="272"/>
      <c r="AY48" s="272"/>
      <c r="AZ48" s="272"/>
      <c r="BA48" s="272"/>
      <c r="BB48" s="272"/>
      <c r="BC48" s="272"/>
      <c r="BD48" s="272"/>
      <c r="BE48" s="272"/>
      <c r="BF48" s="266"/>
      <c r="BG48" s="266"/>
      <c r="BH48" s="266"/>
      <c r="BI48" s="266"/>
      <c r="BJ48" s="266"/>
      <c r="BK48" s="266"/>
      <c r="BL48" s="266"/>
      <c r="BM48" s="266"/>
      <c r="BN48" s="266"/>
      <c r="BO48" s="266"/>
      <c r="BP48" s="266"/>
      <c r="BQ48" s="266"/>
      <c r="BR48" s="266"/>
      <c r="BS48" s="266"/>
      <c r="BT48" s="266"/>
      <c r="BU48" s="266"/>
    </row>
    <row r="49" spans="1:73" ht="30.75" customHeight="1">
      <c r="A49" s="1172" t="str">
        <f>VLOOKUP("fehlervermeidung",Translations!$A:$T,MATCH(Cover!DR19,Translations!A2:P2,0),0)</f>
        <v>Can methods listed detect the causes or failure modes?</v>
      </c>
      <c r="B49" s="1173"/>
      <c r="C49" s="1173"/>
      <c r="D49" s="1174"/>
      <c r="E49" s="1174"/>
      <c r="F49" s="1174"/>
      <c r="G49" s="1174"/>
      <c r="H49" s="1174"/>
      <c r="I49" s="1174"/>
      <c r="J49" s="1174"/>
      <c r="K49" s="1174"/>
      <c r="L49" s="1174"/>
      <c r="M49" s="1174"/>
      <c r="N49" s="1174"/>
      <c r="O49" s="1174"/>
      <c r="P49" s="1174"/>
      <c r="Q49" s="1174"/>
      <c r="R49" s="1174"/>
      <c r="S49" s="1174"/>
      <c r="T49" s="1174"/>
      <c r="U49" s="1174"/>
      <c r="V49" s="1174"/>
      <c r="W49" s="1174"/>
      <c r="X49" s="1174"/>
      <c r="Y49" s="1174"/>
      <c r="Z49" s="1174"/>
      <c r="AA49" s="1174"/>
      <c r="AB49" s="1174"/>
      <c r="AC49" s="1174"/>
      <c r="AD49" s="1174"/>
      <c r="AE49" s="1174"/>
      <c r="AF49" s="1174"/>
      <c r="AG49" s="1174"/>
      <c r="AH49" s="1174"/>
      <c r="AI49" s="1174"/>
      <c r="AJ49" s="1174"/>
      <c r="AK49" s="1171"/>
      <c r="AL49" s="1171"/>
      <c r="AM49" s="1171"/>
      <c r="AN49" s="1180"/>
      <c r="AO49" s="266"/>
      <c r="AP49" s="266"/>
      <c r="AQ49" s="266"/>
      <c r="AR49" s="266"/>
      <c r="AS49" s="266"/>
      <c r="AT49" s="266"/>
      <c r="AU49" s="266"/>
      <c r="AV49" s="266"/>
      <c r="AW49" s="273"/>
      <c r="AX49" s="273"/>
      <c r="AY49" s="273"/>
      <c r="AZ49" s="273"/>
      <c r="BA49" s="273"/>
      <c r="BB49" s="273"/>
      <c r="BC49" s="273"/>
      <c r="BD49" s="273"/>
      <c r="BE49" s="273"/>
      <c r="BF49" s="266"/>
      <c r="BG49" s="266"/>
      <c r="BH49" s="266"/>
      <c r="BI49" s="266"/>
      <c r="BJ49" s="266"/>
      <c r="BK49" s="266"/>
      <c r="BL49" s="266"/>
      <c r="BM49" s="266"/>
      <c r="BN49" s="266"/>
      <c r="BO49" s="266"/>
      <c r="BP49" s="266"/>
      <c r="BQ49" s="266"/>
      <c r="BR49" s="266"/>
      <c r="BS49" s="266"/>
      <c r="BT49" s="266"/>
      <c r="BU49" s="266"/>
    </row>
    <row r="50" spans="1:73" ht="30.75" customHeight="1">
      <c r="A50" s="1172" t="str">
        <f>VLOOKUP("ursachenvermeidung",Translations!$A:$T,MATCH(Cover!DR19,Translations!A2:P2,0),0)</f>
        <v>Are actions directed at eliminating causes or reducing the occurance of the causes of the failure modes?</v>
      </c>
      <c r="B50" s="1173"/>
      <c r="C50" s="1173"/>
      <c r="D50" s="1174"/>
      <c r="E50" s="1174"/>
      <c r="F50" s="1174"/>
      <c r="G50" s="1174"/>
      <c r="H50" s="1174"/>
      <c r="I50" s="1174"/>
      <c r="J50" s="1174"/>
      <c r="K50" s="1174"/>
      <c r="L50" s="1174"/>
      <c r="M50" s="1174"/>
      <c r="N50" s="1174"/>
      <c r="O50" s="1174"/>
      <c r="P50" s="1174"/>
      <c r="Q50" s="1174"/>
      <c r="R50" s="1174"/>
      <c r="S50" s="1174"/>
      <c r="T50" s="1174"/>
      <c r="U50" s="1174"/>
      <c r="V50" s="1174"/>
      <c r="W50" s="1174"/>
      <c r="X50" s="1174"/>
      <c r="Y50" s="1174"/>
      <c r="Z50" s="1174"/>
      <c r="AA50" s="1174"/>
      <c r="AB50" s="1174"/>
      <c r="AC50" s="1174"/>
      <c r="AD50" s="1174"/>
      <c r="AE50" s="1174"/>
      <c r="AF50" s="1174"/>
      <c r="AG50" s="1174"/>
      <c r="AH50" s="1174"/>
      <c r="AI50" s="1174"/>
      <c r="AJ50" s="1174"/>
      <c r="AK50" s="1171"/>
      <c r="AL50" s="1171"/>
      <c r="AM50" s="1171"/>
      <c r="AN50" s="1180"/>
      <c r="AO50" s="266"/>
      <c r="AP50" s="266"/>
      <c r="AQ50" s="266"/>
      <c r="AR50" s="266"/>
      <c r="AS50" s="266"/>
      <c r="AT50" s="266"/>
      <c r="AU50" s="266"/>
      <c r="AV50" s="266"/>
      <c r="AW50" s="160"/>
      <c r="AX50" s="160"/>
      <c r="AY50" s="160"/>
      <c r="AZ50" s="160"/>
      <c r="BA50" s="160"/>
      <c r="BB50" s="160"/>
      <c r="BC50" s="160"/>
      <c r="BD50" s="160"/>
      <c r="BE50" s="160"/>
      <c r="BF50" s="266"/>
      <c r="BG50" s="266"/>
      <c r="BH50" s="266"/>
      <c r="BI50" s="266"/>
      <c r="BJ50" s="266"/>
      <c r="BK50" s="266"/>
      <c r="BL50" s="266"/>
      <c r="BM50" s="266"/>
      <c r="BN50" s="266"/>
      <c r="BO50" s="266"/>
      <c r="BP50" s="266"/>
      <c r="BQ50" s="266"/>
      <c r="BR50" s="266"/>
      <c r="BS50" s="266"/>
      <c r="BT50" s="266"/>
      <c r="BU50" s="266"/>
    </row>
    <row r="51" spans="1:73" ht="30.75" customHeight="1" thickBot="1">
      <c r="A51" s="1194" t="str">
        <f>VLOOKUP("besonderemerkmale",Translations!$A:$T,MATCH(Cover!DR19,Translations!A2:P2,0),0)</f>
        <v>Were special manufacturing/assembly controls identified and implemented for Special Characteristics?</v>
      </c>
      <c r="B51" s="1195"/>
      <c r="C51" s="1195"/>
      <c r="D51" s="1196"/>
      <c r="E51" s="1196"/>
      <c r="F51" s="1196"/>
      <c r="G51" s="1196"/>
      <c r="H51" s="1196"/>
      <c r="I51" s="1196"/>
      <c r="J51" s="1196"/>
      <c r="K51" s="1196"/>
      <c r="L51" s="1196"/>
      <c r="M51" s="1196"/>
      <c r="N51" s="1196"/>
      <c r="O51" s="1196"/>
      <c r="P51" s="1196"/>
      <c r="Q51" s="1196"/>
      <c r="R51" s="1196"/>
      <c r="S51" s="1196"/>
      <c r="T51" s="1196"/>
      <c r="U51" s="1196"/>
      <c r="V51" s="1196"/>
      <c r="W51" s="1196"/>
      <c r="X51" s="1196"/>
      <c r="Y51" s="1196"/>
      <c r="Z51" s="1196"/>
      <c r="AA51" s="1196"/>
      <c r="AB51" s="1196"/>
      <c r="AC51" s="1196"/>
      <c r="AD51" s="1196"/>
      <c r="AE51" s="1196"/>
      <c r="AF51" s="1196"/>
      <c r="AG51" s="1196"/>
      <c r="AH51" s="1196"/>
      <c r="AI51" s="1196"/>
      <c r="AJ51" s="1196"/>
      <c r="AK51" s="1184"/>
      <c r="AL51" s="1184"/>
      <c r="AM51" s="1184"/>
      <c r="AN51" s="1185"/>
      <c r="AO51" s="266"/>
      <c r="AP51" s="266"/>
      <c r="AQ51" s="266"/>
      <c r="AR51" s="266"/>
      <c r="AS51" s="266"/>
      <c r="AT51" s="266"/>
      <c r="AU51" s="266"/>
      <c r="AV51" s="266"/>
      <c r="AW51" s="266"/>
      <c r="AX51" s="266"/>
      <c r="AY51" s="266"/>
      <c r="AZ51" s="266"/>
      <c r="BA51" s="266"/>
      <c r="BB51" s="266"/>
      <c r="BC51" s="266"/>
      <c r="BD51" s="266"/>
      <c r="BE51" s="266"/>
      <c r="BF51" s="266"/>
      <c r="BG51" s="266"/>
      <c r="BH51" s="266"/>
      <c r="BI51" s="266"/>
      <c r="BJ51" s="266"/>
      <c r="BK51" s="266"/>
      <c r="BL51" s="266"/>
      <c r="BM51" s="266"/>
      <c r="BN51" s="266"/>
      <c r="BO51" s="266"/>
      <c r="BP51" s="266"/>
      <c r="BQ51" s="266"/>
      <c r="BR51" s="266"/>
      <c r="BS51" s="266"/>
      <c r="BT51" s="266"/>
      <c r="BU51" s="266"/>
    </row>
    <row r="52" spans="1:73" ht="13.5" customHeight="1">
      <c r="A52" s="96"/>
      <c r="B52" s="96"/>
      <c r="C52" s="96"/>
      <c r="D52" s="258"/>
      <c r="E52" s="258"/>
      <c r="F52" s="258"/>
      <c r="G52" s="258"/>
      <c r="H52" s="258"/>
      <c r="I52" s="258"/>
      <c r="J52" s="258"/>
      <c r="K52" s="258"/>
      <c r="L52" s="258"/>
      <c r="M52" s="258"/>
      <c r="N52" s="258"/>
      <c r="O52" s="258"/>
      <c r="P52" s="258"/>
      <c r="Q52" s="258"/>
      <c r="R52" s="96"/>
      <c r="S52" s="96"/>
      <c r="T52" s="96"/>
      <c r="U52" s="258"/>
      <c r="V52" s="258"/>
      <c r="W52" s="258"/>
      <c r="X52" s="258"/>
      <c r="Y52" s="258"/>
      <c r="Z52" s="258"/>
      <c r="AA52" s="258"/>
      <c r="AB52" s="258"/>
      <c r="AC52" s="258"/>
      <c r="AD52" s="258"/>
      <c r="AE52" s="258"/>
      <c r="AF52" s="258"/>
      <c r="AG52" s="258"/>
      <c r="AH52" s="258"/>
      <c r="AI52" s="258"/>
      <c r="AJ52" s="258"/>
      <c r="AK52" s="258"/>
      <c r="AL52" s="258"/>
      <c r="AM52" s="258"/>
      <c r="AN52" s="258"/>
      <c r="AO52" s="266"/>
      <c r="AP52" s="266"/>
      <c r="AQ52" s="266"/>
      <c r="AR52" s="266"/>
      <c r="AS52" s="266"/>
      <c r="AT52" s="266"/>
      <c r="AU52" s="266"/>
      <c r="AV52" s="266"/>
      <c r="AW52" s="266"/>
      <c r="AX52" s="266"/>
      <c r="AY52" s="266"/>
      <c r="AZ52" s="266"/>
      <c r="BA52" s="266"/>
      <c r="BB52" s="266"/>
      <c r="BC52" s="266"/>
      <c r="BD52" s="266"/>
      <c r="BE52" s="266"/>
      <c r="BF52" s="266"/>
      <c r="BG52" s="266"/>
      <c r="BH52" s="266"/>
      <c r="BI52" s="266"/>
      <c r="BJ52" s="266"/>
      <c r="BK52" s="266"/>
      <c r="BL52" s="266"/>
      <c r="BM52" s="266"/>
      <c r="BN52" s="266"/>
      <c r="BO52" s="266"/>
      <c r="BP52" s="266"/>
      <c r="BQ52" s="266"/>
      <c r="BR52" s="266"/>
      <c r="BS52" s="266"/>
      <c r="BT52" s="266"/>
      <c r="BU52" s="266"/>
    </row>
    <row r="53" spans="1:73" ht="17.25" customHeight="1">
      <c r="A53" s="1197" t="str">
        <f>VLOOKUP("zusammenfassungpfmea",Translations!$A:$T,MATCH(Cover!DR19,Translations!A2:P2,0),0)</f>
        <v>Summary P-FMEA</v>
      </c>
      <c r="B53" s="1197"/>
      <c r="C53" s="1197"/>
      <c r="D53" s="1197"/>
      <c r="E53" s="1197"/>
      <c r="F53" s="1197"/>
      <c r="G53" s="1197"/>
      <c r="H53" s="1197"/>
      <c r="I53" s="1197"/>
      <c r="J53" s="1197"/>
      <c r="K53" s="1197"/>
      <c r="L53" s="1197"/>
      <c r="M53" s="1197"/>
      <c r="N53" s="1197"/>
      <c r="O53" s="1197"/>
      <c r="P53" s="1197"/>
      <c r="Q53" s="1197"/>
      <c r="R53" s="1197"/>
      <c r="S53" s="1197"/>
      <c r="T53" s="1197"/>
      <c r="U53" s="1197"/>
      <c r="V53" s="1197"/>
      <c r="W53" s="1197"/>
      <c r="X53" s="1197"/>
      <c r="Y53" s="1197"/>
      <c r="Z53" s="1197"/>
      <c r="AA53" s="1197"/>
      <c r="AB53" s="1197"/>
      <c r="AC53" s="1197"/>
      <c r="AD53" s="1197"/>
      <c r="AE53" s="1197"/>
      <c r="AF53" s="1197"/>
      <c r="AG53" s="1197"/>
      <c r="AH53" s="1197"/>
      <c r="AI53" s="1197"/>
      <c r="AJ53" s="1197"/>
      <c r="AK53" s="101"/>
      <c r="AL53" s="101"/>
      <c r="AM53" s="101"/>
      <c r="AN53" s="101"/>
      <c r="AO53" s="266"/>
      <c r="AP53" s="266"/>
      <c r="AQ53" s="266"/>
      <c r="AR53" s="266"/>
      <c r="AS53" s="266"/>
      <c r="AT53" s="266"/>
      <c r="AU53" s="266"/>
      <c r="AV53" s="266"/>
      <c r="AW53" s="266"/>
      <c r="AX53" s="266"/>
      <c r="AY53" s="266"/>
      <c r="AZ53" s="266"/>
      <c r="BA53" s="266"/>
      <c r="BB53" s="266"/>
      <c r="BC53" s="266"/>
      <c r="BD53" s="266"/>
      <c r="BE53" s="266"/>
      <c r="BF53" s="266"/>
      <c r="BG53" s="266"/>
      <c r="BH53" s="266"/>
      <c r="BI53" s="266"/>
      <c r="BJ53" s="266"/>
      <c r="BK53" s="266"/>
      <c r="BL53" s="266"/>
      <c r="BM53" s="266"/>
      <c r="BN53" s="266"/>
      <c r="BO53" s="266"/>
      <c r="BP53" s="266"/>
      <c r="BQ53" s="266"/>
      <c r="BR53" s="266"/>
      <c r="BS53" s="266"/>
      <c r="BT53" s="266"/>
      <c r="BU53" s="266"/>
    </row>
    <row r="54" spans="1:73" ht="17.25" customHeight="1">
      <c r="A54" s="1205" t="str">
        <f>VLOOKUP("fmeanr",Translations!$A:$T,MATCH(Cover!DR19,Translations!A2:P2,0),0)</f>
        <v>FMEA-No.:</v>
      </c>
      <c r="B54" s="1205"/>
      <c r="C54" s="1205"/>
      <c r="D54" s="1205"/>
      <c r="E54" s="1205"/>
      <c r="F54" s="1225"/>
      <c r="G54" s="1225"/>
      <c r="H54" s="1225"/>
      <c r="I54" s="1225"/>
      <c r="J54" s="1225"/>
      <c r="K54" s="1225"/>
      <c r="L54" s="1225"/>
      <c r="M54" s="1225"/>
      <c r="N54" s="1205" t="s">
        <v>580</v>
      </c>
      <c r="O54" s="1205"/>
      <c r="P54" s="1205"/>
      <c r="Q54" s="1198"/>
      <c r="R54" s="1199"/>
      <c r="S54" s="1199"/>
      <c r="T54" s="1199"/>
      <c r="U54" s="1199"/>
      <c r="V54" s="1205" t="str">
        <f>VLOOKUP("fmeadatum",Translations!$A:$T,MATCH(Cover!DR19,Translations!A2:P2,0),0)</f>
        <v>FMEA-Date:</v>
      </c>
      <c r="W54" s="1205"/>
      <c r="X54" s="1205"/>
      <c r="Y54" s="1205"/>
      <c r="Z54" s="1205"/>
      <c r="AA54" s="1225"/>
      <c r="AB54" s="1225"/>
      <c r="AC54" s="1225"/>
      <c r="AD54" s="1225"/>
      <c r="AE54" s="102"/>
      <c r="AF54" s="102"/>
      <c r="AG54" s="102"/>
      <c r="AH54" s="102"/>
      <c r="AI54" s="102"/>
      <c r="AJ54" s="102"/>
      <c r="AK54" s="101"/>
      <c r="AL54" s="101"/>
      <c r="AM54" s="101"/>
      <c r="AN54" s="101"/>
      <c r="AO54" s="266"/>
      <c r="AP54" s="266"/>
      <c r="AQ54" s="266"/>
      <c r="AR54" s="266"/>
      <c r="AS54" s="266"/>
      <c r="AT54" s="266"/>
      <c r="AU54" s="266"/>
      <c r="AV54" s="266"/>
      <c r="AW54" s="266"/>
      <c r="AX54" s="266"/>
      <c r="AY54" s="266"/>
      <c r="AZ54" s="266"/>
      <c r="BA54" s="266"/>
      <c r="BB54" s="266"/>
      <c r="BC54" s="266"/>
      <c r="BD54" s="266"/>
      <c r="BE54" s="266"/>
      <c r="BF54" s="266"/>
      <c r="BG54" s="266"/>
      <c r="BH54" s="266"/>
      <c r="BI54" s="266"/>
      <c r="BJ54" s="266"/>
      <c r="BK54" s="266"/>
      <c r="BL54" s="266"/>
      <c r="BM54" s="266"/>
      <c r="BN54" s="266"/>
      <c r="BO54" s="266"/>
      <c r="BP54" s="266"/>
      <c r="BQ54" s="266"/>
      <c r="BR54" s="266"/>
      <c r="BS54" s="266"/>
      <c r="BT54" s="266"/>
      <c r="BU54" s="266"/>
    </row>
    <row r="55" spans="1:73" ht="3" customHeight="1" thickBot="1">
      <c r="A55" s="1170"/>
      <c r="B55" s="1170"/>
      <c r="C55" s="1170"/>
      <c r="D55" s="1170"/>
      <c r="E55" s="1170"/>
      <c r="F55" s="1170"/>
      <c r="G55" s="1170"/>
      <c r="H55" s="1170"/>
      <c r="I55" s="1170"/>
      <c r="J55" s="1170"/>
      <c r="K55" s="1170"/>
      <c r="L55" s="1170"/>
      <c r="M55" s="1170"/>
      <c r="N55" s="1170"/>
      <c r="O55" s="1170"/>
      <c r="P55" s="1170"/>
      <c r="Q55" s="1170"/>
      <c r="R55" s="1170"/>
      <c r="S55" s="1170"/>
      <c r="T55" s="1170"/>
      <c r="U55" s="1170"/>
      <c r="V55" s="1170"/>
      <c r="W55" s="1170"/>
      <c r="X55" s="1170"/>
      <c r="Y55" s="1170"/>
      <c r="Z55" s="1170"/>
      <c r="AA55" s="1170"/>
      <c r="AB55" s="1170"/>
      <c r="AC55" s="1170"/>
      <c r="AD55" s="1170"/>
      <c r="AE55" s="1170"/>
      <c r="AF55" s="1170"/>
      <c r="AG55" s="1170"/>
      <c r="AH55" s="1170"/>
      <c r="AI55" s="1170"/>
      <c r="AJ55" s="1170"/>
      <c r="AK55" s="1170"/>
      <c r="AL55" s="1170"/>
      <c r="AM55" s="1170"/>
      <c r="AN55" s="1170"/>
      <c r="AO55" s="266"/>
      <c r="AP55" s="266"/>
      <c r="AQ55" s="266"/>
      <c r="AR55" s="266"/>
      <c r="AS55" s="266"/>
      <c r="AT55" s="266"/>
      <c r="AU55" s="266"/>
      <c r="AV55" s="266"/>
      <c r="AW55" s="266"/>
      <c r="AX55" s="266"/>
      <c r="AY55" s="266"/>
      <c r="AZ55" s="266"/>
      <c r="BA55" s="266"/>
      <c r="BB55" s="266"/>
      <c r="BC55" s="266"/>
      <c r="BD55" s="266"/>
      <c r="BE55" s="266"/>
      <c r="BF55" s="266"/>
      <c r="BG55" s="266"/>
      <c r="BH55" s="266"/>
      <c r="BI55" s="266"/>
      <c r="BJ55" s="266"/>
      <c r="BK55" s="266"/>
      <c r="BL55" s="266"/>
      <c r="BM55" s="266"/>
      <c r="BN55" s="266"/>
      <c r="BO55" s="266"/>
      <c r="BP55" s="266"/>
      <c r="BQ55" s="266"/>
      <c r="BR55" s="266"/>
      <c r="BS55" s="266"/>
      <c r="BT55" s="266"/>
      <c r="BU55" s="266"/>
    </row>
    <row r="56" spans="1:73" ht="17.25" customHeight="1">
      <c r="A56" s="103"/>
      <c r="B56" s="104"/>
      <c r="C56" s="104"/>
      <c r="D56" s="104"/>
      <c r="E56" s="1218" t="str">
        <f>VLOOKUP("terminmassnahmen",Translations!$A:$T,MATCH(Cover!DR19,Translations!A2:P2,0),0)</f>
        <v>Due date of measures</v>
      </c>
      <c r="F56" s="1218"/>
      <c r="G56" s="1218"/>
      <c r="H56" s="1218"/>
      <c r="I56" s="1218"/>
      <c r="J56" s="1219"/>
      <c r="K56" s="1158" t="str">
        <f>VLOOKUP("erledigt",Translations!$A:$T,MATCH(Cover!DR19,Translations!A2:P2,0),0)</f>
        <v>completed</v>
      </c>
      <c r="L56" s="1159"/>
      <c r="M56" s="1167"/>
      <c r="N56" s="104"/>
      <c r="O56" s="104"/>
      <c r="P56" s="106"/>
      <c r="Q56" s="105"/>
      <c r="R56" s="104"/>
      <c r="S56" s="104"/>
      <c r="T56" s="104"/>
      <c r="U56" s="104"/>
      <c r="V56" s="105"/>
      <c r="W56" s="104"/>
      <c r="X56" s="104"/>
      <c r="Y56" s="105"/>
      <c r="Z56" s="104"/>
      <c r="AA56" s="104"/>
      <c r="AB56" s="105"/>
      <c r="AC56" s="104"/>
      <c r="AD56" s="104"/>
      <c r="AE56" s="1158"/>
      <c r="AF56" s="1159"/>
      <c r="AG56" s="1167"/>
      <c r="AH56" s="1158"/>
      <c r="AI56" s="1159"/>
      <c r="AJ56" s="1167"/>
      <c r="AK56" s="1158" t="str">
        <f>VLOOKUP("später",Translations!$A:$T,MATCH(Cover!DR19,Translations!A2:P2,0),0)</f>
        <v>later</v>
      </c>
      <c r="AL56" s="1159"/>
      <c r="AM56" s="1159"/>
      <c r="AN56" s="1160"/>
      <c r="AO56" s="266"/>
      <c r="AP56" s="266"/>
      <c r="AQ56" s="266"/>
      <c r="AR56" s="266"/>
      <c r="AS56" s="266"/>
      <c r="AT56" s="266"/>
      <c r="AU56" s="266"/>
      <c r="AV56" s="266"/>
      <c r="AW56" s="266"/>
      <c r="AX56" s="266"/>
      <c r="AY56" s="266"/>
      <c r="AZ56" s="266"/>
      <c r="BA56" s="266"/>
      <c r="BB56" s="266"/>
      <c r="BC56" s="266"/>
      <c r="BD56" s="266"/>
      <c r="BE56" s="266"/>
      <c r="BF56" s="266"/>
      <c r="BG56" s="266"/>
      <c r="BH56" s="266"/>
      <c r="BI56" s="266"/>
      <c r="BJ56" s="266"/>
      <c r="BK56" s="266"/>
      <c r="BL56" s="266"/>
      <c r="BM56" s="266"/>
      <c r="BN56" s="266"/>
      <c r="BO56" s="266"/>
      <c r="BP56" s="266"/>
      <c r="BQ56" s="266"/>
      <c r="BR56" s="266"/>
      <c r="BS56" s="266"/>
      <c r="BT56" s="266"/>
      <c r="BU56" s="266"/>
    </row>
    <row r="57" spans="1:73" ht="17.25" customHeight="1">
      <c r="A57" s="107"/>
      <c r="B57" s="108"/>
      <c r="C57" s="108"/>
      <c r="D57" s="108"/>
      <c r="E57" s="108"/>
      <c r="F57" s="108"/>
      <c r="G57" s="108"/>
      <c r="H57" s="108"/>
      <c r="I57" s="108"/>
      <c r="J57" s="108"/>
      <c r="K57" s="1161"/>
      <c r="L57" s="1162"/>
      <c r="M57" s="1169"/>
      <c r="N57" s="108"/>
      <c r="O57" s="108"/>
      <c r="P57" s="110"/>
      <c r="Q57" s="109"/>
      <c r="R57" s="108"/>
      <c r="S57" s="108"/>
      <c r="T57" s="108"/>
      <c r="U57" s="108"/>
      <c r="V57" s="109"/>
      <c r="W57" s="108"/>
      <c r="X57" s="108"/>
      <c r="Y57" s="109"/>
      <c r="Z57" s="108"/>
      <c r="AA57" s="108"/>
      <c r="AB57" s="109"/>
      <c r="AC57" s="108"/>
      <c r="AD57" s="108"/>
      <c r="AE57" s="1164"/>
      <c r="AF57" s="1165"/>
      <c r="AG57" s="1168"/>
      <c r="AH57" s="1164"/>
      <c r="AI57" s="1165"/>
      <c r="AJ57" s="1168"/>
      <c r="AK57" s="1161"/>
      <c r="AL57" s="1162"/>
      <c r="AM57" s="1162"/>
      <c r="AN57" s="1163"/>
      <c r="AO57" s="274"/>
      <c r="AP57" s="274"/>
      <c r="AQ57" s="274"/>
      <c r="AR57" s="274"/>
      <c r="AS57" s="274"/>
      <c r="AT57" s="274"/>
      <c r="AU57" s="270"/>
      <c r="AV57" s="270"/>
      <c r="AW57" s="270"/>
      <c r="AX57" s="270"/>
      <c r="AY57" s="270"/>
      <c r="AZ57" s="270"/>
      <c r="BA57" s="270"/>
      <c r="BB57" s="270"/>
      <c r="BC57" s="270"/>
      <c r="BD57" s="267"/>
      <c r="BE57" s="270"/>
      <c r="BF57" s="270"/>
      <c r="BG57" s="270"/>
      <c r="BH57" s="270"/>
      <c r="BI57" s="270"/>
      <c r="BJ57" s="270"/>
      <c r="BK57" s="270"/>
      <c r="BL57" s="270"/>
      <c r="BM57" s="270"/>
      <c r="BN57" s="270"/>
      <c r="BO57" s="270"/>
      <c r="BP57" s="270"/>
      <c r="BQ57" s="270"/>
      <c r="BR57" s="270"/>
      <c r="BS57" s="270"/>
      <c r="BT57" s="270"/>
      <c r="BU57" s="266"/>
    </row>
    <row r="58" spans="1:73" ht="17.25" customHeight="1">
      <c r="A58" s="1222" t="str">
        <f>VLOOKUP("anzahlfehlerursachen",Translations!$A:$T,MATCH(Cover!DR19,Translations!A2:P2,0),0)</f>
        <v>Number of failure causes/elements</v>
      </c>
      <c r="B58" s="1223"/>
      <c r="C58" s="1223"/>
      <c r="D58" s="1223"/>
      <c r="E58" s="1223"/>
      <c r="F58" s="1223"/>
      <c r="G58" s="1223"/>
      <c r="H58" s="1223"/>
      <c r="I58" s="1223"/>
      <c r="J58" s="1224"/>
      <c r="K58" s="1164"/>
      <c r="L58" s="1165"/>
      <c r="M58" s="1168"/>
      <c r="N58" s="1206"/>
      <c r="O58" s="1206"/>
      <c r="P58" s="1206"/>
      <c r="Q58" s="1206"/>
      <c r="R58" s="1206"/>
      <c r="S58" s="1206"/>
      <c r="T58" s="1206"/>
      <c r="U58" s="1206"/>
      <c r="V58" s="1206"/>
      <c r="W58" s="1206"/>
      <c r="X58" s="1206"/>
      <c r="Y58" s="1206"/>
      <c r="Z58" s="1206"/>
      <c r="AA58" s="1206"/>
      <c r="AB58" s="1206"/>
      <c r="AC58" s="1206"/>
      <c r="AD58" s="1206"/>
      <c r="AE58" s="1206"/>
      <c r="AF58" s="1206"/>
      <c r="AG58" s="1206"/>
      <c r="AH58" s="1206"/>
      <c r="AI58" s="1206"/>
      <c r="AJ58" s="1206"/>
      <c r="AK58" s="1164"/>
      <c r="AL58" s="1165"/>
      <c r="AM58" s="1165"/>
      <c r="AN58" s="1166"/>
      <c r="AO58" s="270"/>
      <c r="AP58" s="270"/>
      <c r="AQ58" s="270"/>
      <c r="AR58" s="270"/>
      <c r="AS58" s="270"/>
      <c r="AT58" s="270"/>
      <c r="AU58" s="270"/>
      <c r="AV58" s="270"/>
      <c r="AW58" s="270"/>
      <c r="AX58" s="266"/>
      <c r="AY58" s="266"/>
      <c r="AZ58" s="273"/>
      <c r="BA58" s="273"/>
      <c r="BB58" s="273"/>
      <c r="BC58" s="273"/>
      <c r="BD58" s="273"/>
      <c r="BE58" s="273"/>
      <c r="BF58" s="273"/>
      <c r="BG58" s="273"/>
      <c r="BH58" s="273"/>
      <c r="BI58" s="273"/>
      <c r="BJ58" s="273"/>
      <c r="BK58" s="273"/>
      <c r="BL58" s="273"/>
      <c r="BM58" s="273"/>
      <c r="BN58" s="273"/>
      <c r="BO58" s="273"/>
      <c r="BP58" s="273"/>
      <c r="BQ58" s="273"/>
      <c r="BR58" s="273"/>
      <c r="BS58" s="273"/>
      <c r="BT58" s="273"/>
      <c r="BU58" s="266"/>
    </row>
    <row r="59" spans="1:73" ht="18" customHeight="1">
      <c r="A59" s="1200" t="str">
        <f>VLOOKUP("ohnemassnahmen",Translations!$A:$T,MATCH(Cover!DR19,Translations!A2:P2,0),0)</f>
        <v>without measures</v>
      </c>
      <c r="B59" s="1201"/>
      <c r="C59" s="1201"/>
      <c r="D59" s="1201"/>
      <c r="E59" s="1201"/>
      <c r="F59" s="1201"/>
      <c r="G59" s="1201"/>
      <c r="H59" s="1201"/>
      <c r="I59" s="1201"/>
      <c r="J59" s="1211"/>
      <c r="K59" s="1204"/>
      <c r="L59" s="1204"/>
      <c r="M59" s="1204"/>
      <c r="N59" s="1204"/>
      <c r="O59" s="1204"/>
      <c r="P59" s="1204"/>
      <c r="Q59" s="1204"/>
      <c r="R59" s="1204"/>
      <c r="S59" s="1204"/>
      <c r="T59" s="1204"/>
      <c r="U59" s="1204"/>
      <c r="V59" s="1204"/>
      <c r="W59" s="1204"/>
      <c r="X59" s="1204"/>
      <c r="Y59" s="1204"/>
      <c r="Z59" s="1204"/>
      <c r="AA59" s="1204"/>
      <c r="AB59" s="1204"/>
      <c r="AC59" s="1204"/>
      <c r="AD59" s="1204"/>
      <c r="AE59" s="1204"/>
      <c r="AF59" s="1204"/>
      <c r="AG59" s="1204"/>
      <c r="AH59" s="1204"/>
      <c r="AI59" s="1204"/>
      <c r="AJ59" s="1204"/>
      <c r="AK59" s="1212"/>
      <c r="AL59" s="1213"/>
      <c r="AM59" s="1213"/>
      <c r="AN59" s="1214"/>
      <c r="AO59" s="270"/>
      <c r="AP59" s="274"/>
      <c r="AQ59" s="274"/>
      <c r="AR59" s="274"/>
      <c r="AS59" s="274"/>
      <c r="AT59" s="274"/>
      <c r="AU59" s="270"/>
      <c r="AV59" s="270"/>
      <c r="AW59" s="270"/>
      <c r="AX59" s="266"/>
      <c r="AY59" s="266"/>
      <c r="AZ59" s="266"/>
      <c r="BA59" s="275"/>
      <c r="BB59" s="275"/>
      <c r="BC59" s="275"/>
      <c r="BD59" s="275"/>
      <c r="BE59" s="275"/>
      <c r="BF59" s="275"/>
      <c r="BG59" s="266"/>
      <c r="BH59" s="266"/>
      <c r="BI59" s="266"/>
      <c r="BJ59" s="266"/>
      <c r="BK59" s="266"/>
      <c r="BL59" s="266"/>
      <c r="BM59" s="266"/>
      <c r="BN59" s="266"/>
      <c r="BO59" s="266"/>
      <c r="BP59" s="266"/>
      <c r="BQ59" s="266"/>
      <c r="BR59" s="266"/>
      <c r="BS59" s="266"/>
      <c r="BT59" s="266"/>
      <c r="BU59" s="266"/>
    </row>
    <row r="60" spans="1:73" ht="18" customHeight="1">
      <c r="A60" s="1200" t="str">
        <f>VLOOKUP("massnahmenfür",Translations!$A:$T,MATCH(Cover!DR19,Translations!A2:P2,0),0)</f>
        <v>Measures for</v>
      </c>
      <c r="B60" s="1201"/>
      <c r="C60" s="1201"/>
      <c r="D60" s="1201"/>
      <c r="E60" s="1201"/>
      <c r="F60" s="1201"/>
      <c r="G60" s="1220" t="str">
        <f>VLOOKUP("0&lt;RPZ&lt;80",Translations!$A:$T,MATCH(Cover!DR19,Translations!A2:P2,0),0)</f>
        <v>0 &lt; RPN &lt; 80</v>
      </c>
      <c r="H60" s="1220"/>
      <c r="I60" s="1220"/>
      <c r="J60" s="1221"/>
      <c r="K60" s="1204"/>
      <c r="L60" s="1204"/>
      <c r="M60" s="1204"/>
      <c r="N60" s="1204"/>
      <c r="O60" s="1204"/>
      <c r="P60" s="1204"/>
      <c r="Q60" s="1204"/>
      <c r="R60" s="1204"/>
      <c r="S60" s="1204"/>
      <c r="T60" s="1204"/>
      <c r="U60" s="1204"/>
      <c r="V60" s="1204"/>
      <c r="W60" s="1204"/>
      <c r="X60" s="1204"/>
      <c r="Y60" s="1204"/>
      <c r="Z60" s="1204"/>
      <c r="AA60" s="1204"/>
      <c r="AB60" s="1204"/>
      <c r="AC60" s="1204"/>
      <c r="AD60" s="1204"/>
      <c r="AE60" s="1204"/>
      <c r="AF60" s="1204"/>
      <c r="AG60" s="1204"/>
      <c r="AH60" s="1204"/>
      <c r="AI60" s="1204"/>
      <c r="AJ60" s="1204"/>
      <c r="AK60" s="1212"/>
      <c r="AL60" s="1213"/>
      <c r="AM60" s="1213"/>
      <c r="AN60" s="1214"/>
      <c r="AO60" s="270"/>
      <c r="AP60" s="270"/>
      <c r="AQ60" s="270"/>
      <c r="AR60" s="270"/>
      <c r="AS60" s="270"/>
      <c r="AT60" s="270"/>
      <c r="AU60" s="270"/>
      <c r="AV60" s="270"/>
      <c r="AW60" s="270"/>
      <c r="AX60" s="266"/>
      <c r="AY60" s="266"/>
      <c r="AZ60" s="266"/>
      <c r="BA60" s="266"/>
      <c r="BB60" s="266"/>
      <c r="BC60" s="266"/>
      <c r="BD60" s="266"/>
      <c r="BE60" s="266"/>
      <c r="BF60" s="266"/>
      <c r="BG60" s="266"/>
      <c r="BH60" s="266"/>
      <c r="BI60" s="266"/>
      <c r="BJ60" s="266"/>
      <c r="BK60" s="266"/>
      <c r="BL60" s="266"/>
      <c r="BM60" s="266"/>
      <c r="BN60" s="266"/>
      <c r="BO60" s="266"/>
      <c r="BP60" s="266"/>
      <c r="BQ60" s="266"/>
      <c r="BR60" s="266"/>
      <c r="BS60" s="270"/>
      <c r="BT60" s="270"/>
      <c r="BU60" s="266"/>
    </row>
    <row r="61" spans="1:73" ht="18" customHeight="1">
      <c r="A61" s="1202" t="str">
        <f>VLOOKUP("massnahmenfür",Translations!$A:$T,MATCH(Cover!DR19,Translations!A2:P2,0),0)</f>
        <v>Measures for</v>
      </c>
      <c r="B61" s="1203"/>
      <c r="C61" s="1203"/>
      <c r="D61" s="1203"/>
      <c r="E61" s="1203"/>
      <c r="F61" s="1203"/>
      <c r="G61" s="1220" t="str">
        <f>VLOOKUP("80&lt;RPZ&lt;125",Translations!$A:$T,MATCH(Cover!DR19,Translations!A2:P2,0),0)</f>
        <v>80 &lt; RPN &lt; 125</v>
      </c>
      <c r="H61" s="1220"/>
      <c r="I61" s="1220"/>
      <c r="J61" s="1221"/>
      <c r="K61" s="1204"/>
      <c r="L61" s="1204"/>
      <c r="M61" s="1204"/>
      <c r="N61" s="1204"/>
      <c r="O61" s="1204"/>
      <c r="P61" s="1204"/>
      <c r="Q61" s="1204"/>
      <c r="R61" s="1204"/>
      <c r="S61" s="1204"/>
      <c r="T61" s="1204"/>
      <c r="U61" s="1204"/>
      <c r="V61" s="1204"/>
      <c r="W61" s="1204"/>
      <c r="X61" s="1204"/>
      <c r="Y61" s="1204"/>
      <c r="Z61" s="1204"/>
      <c r="AA61" s="1204"/>
      <c r="AB61" s="1204"/>
      <c r="AC61" s="1204"/>
      <c r="AD61" s="1204"/>
      <c r="AE61" s="1204"/>
      <c r="AF61" s="1204"/>
      <c r="AG61" s="1204"/>
      <c r="AH61" s="1204"/>
      <c r="AI61" s="1204"/>
      <c r="AJ61" s="1204"/>
      <c r="AK61" s="1212"/>
      <c r="AL61" s="1213"/>
      <c r="AM61" s="1213"/>
      <c r="AN61" s="1214"/>
      <c r="AO61" s="270"/>
      <c r="AP61" s="270"/>
      <c r="AQ61" s="270"/>
      <c r="AR61" s="270"/>
      <c r="AS61" s="270"/>
      <c r="AT61" s="270"/>
      <c r="AU61" s="270"/>
      <c r="AV61" s="270"/>
      <c r="AW61" s="270"/>
      <c r="AX61" s="266"/>
      <c r="AY61" s="266"/>
      <c r="AZ61" s="266"/>
      <c r="BA61" s="266"/>
      <c r="BB61" s="266"/>
      <c r="BC61" s="266"/>
      <c r="BD61" s="266"/>
      <c r="BE61" s="266"/>
      <c r="BF61" s="266"/>
      <c r="BG61" s="266"/>
      <c r="BH61" s="266"/>
      <c r="BI61" s="266"/>
      <c r="BJ61" s="266"/>
      <c r="BK61" s="266"/>
      <c r="BL61" s="270"/>
      <c r="BM61" s="270"/>
      <c r="BN61" s="270"/>
      <c r="BO61" s="270"/>
      <c r="BP61" s="270"/>
      <c r="BQ61" s="270"/>
      <c r="BR61" s="270"/>
      <c r="BS61" s="270"/>
      <c r="BT61" s="270"/>
      <c r="BU61" s="266"/>
    </row>
    <row r="62" spans="1:73" ht="18" customHeight="1">
      <c r="A62" s="1202" t="str">
        <f>VLOOKUP("massnahmenfür",Translations!$A:$T,MATCH(Cover!DR19,Translations!A2:P2,0),0)</f>
        <v>Measures for</v>
      </c>
      <c r="B62" s="1203"/>
      <c r="C62" s="1203"/>
      <c r="D62" s="1203"/>
      <c r="E62" s="1203"/>
      <c r="F62" s="1203"/>
      <c r="G62" s="1220" t="str">
        <f>VLOOKUP("125&lt;RPZ&lt;200",Translations!$A:$T,MATCH(Cover!DR19,Translations!A2:P2,0),0)</f>
        <v>125 &lt; RPN &lt; 200</v>
      </c>
      <c r="H62" s="1220"/>
      <c r="I62" s="1220"/>
      <c r="J62" s="1221"/>
      <c r="K62" s="1204"/>
      <c r="L62" s="1204"/>
      <c r="M62" s="1204"/>
      <c r="N62" s="1204"/>
      <c r="O62" s="1204"/>
      <c r="P62" s="1204"/>
      <c r="Q62" s="1204"/>
      <c r="R62" s="1204"/>
      <c r="S62" s="1204"/>
      <c r="T62" s="1204"/>
      <c r="U62" s="1204"/>
      <c r="V62" s="1204"/>
      <c r="W62" s="1204"/>
      <c r="X62" s="1204"/>
      <c r="Y62" s="1204"/>
      <c r="Z62" s="1204"/>
      <c r="AA62" s="1204"/>
      <c r="AB62" s="1204"/>
      <c r="AC62" s="1204"/>
      <c r="AD62" s="1204"/>
      <c r="AE62" s="1204"/>
      <c r="AF62" s="1204"/>
      <c r="AG62" s="1204"/>
      <c r="AH62" s="1204"/>
      <c r="AI62" s="1204"/>
      <c r="AJ62" s="1204"/>
      <c r="AK62" s="1212"/>
      <c r="AL62" s="1213"/>
      <c r="AM62" s="1213"/>
      <c r="AN62" s="1214"/>
      <c r="AO62" s="270"/>
      <c r="AP62" s="270"/>
      <c r="AQ62" s="270"/>
      <c r="AR62" s="270"/>
      <c r="AS62" s="270"/>
      <c r="AT62" s="270"/>
      <c r="AU62" s="270"/>
      <c r="AV62" s="270"/>
      <c r="AW62" s="270"/>
      <c r="AX62" s="270"/>
      <c r="AY62" s="270"/>
      <c r="AZ62" s="270"/>
      <c r="BA62" s="270"/>
      <c r="BB62" s="270"/>
      <c r="BC62" s="270"/>
      <c r="BD62" s="267"/>
      <c r="BE62" s="270"/>
      <c r="BF62" s="270"/>
      <c r="BG62" s="270"/>
      <c r="BH62" s="270"/>
      <c r="BI62" s="270"/>
      <c r="BJ62" s="270"/>
      <c r="BK62" s="270"/>
      <c r="BL62" s="270"/>
      <c r="BM62" s="270"/>
      <c r="BN62" s="270"/>
      <c r="BO62" s="270"/>
      <c r="BP62" s="270"/>
      <c r="BQ62" s="270"/>
      <c r="BR62" s="270"/>
      <c r="BS62" s="270"/>
      <c r="BT62" s="270"/>
      <c r="BU62" s="266"/>
    </row>
    <row r="63" spans="1:73" ht="18" customHeight="1">
      <c r="A63" s="1202" t="str">
        <f>VLOOKUP("massnahmenfür",Translations!$A:$T,MATCH(Cover!DR19,Translations!A2:P2,0),0)</f>
        <v>Measures for</v>
      </c>
      <c r="B63" s="1203"/>
      <c r="C63" s="1203"/>
      <c r="D63" s="1203"/>
      <c r="E63" s="1203"/>
      <c r="F63" s="1203"/>
      <c r="G63" s="1220" t="str">
        <f>VLOOKUP("200&lt;RPZ&lt;300",Translations!$A:$T,MATCH(Cover!DR19,Translations!A2:P2,0),0)</f>
        <v>200 &lt; RPN &lt; 300</v>
      </c>
      <c r="H63" s="1220"/>
      <c r="I63" s="1220"/>
      <c r="J63" s="1221"/>
      <c r="K63" s="1204"/>
      <c r="L63" s="1204"/>
      <c r="M63" s="1204"/>
      <c r="N63" s="1204"/>
      <c r="O63" s="1204"/>
      <c r="P63" s="1204"/>
      <c r="Q63" s="1204"/>
      <c r="R63" s="1204"/>
      <c r="S63" s="1204"/>
      <c r="T63" s="1204"/>
      <c r="U63" s="1204"/>
      <c r="V63" s="1204"/>
      <c r="W63" s="1204"/>
      <c r="X63" s="1204"/>
      <c r="Y63" s="1204"/>
      <c r="Z63" s="1204"/>
      <c r="AA63" s="1204"/>
      <c r="AB63" s="1204"/>
      <c r="AC63" s="1204"/>
      <c r="AD63" s="1204"/>
      <c r="AE63" s="1204"/>
      <c r="AF63" s="1204"/>
      <c r="AG63" s="1204"/>
      <c r="AH63" s="1204"/>
      <c r="AI63" s="1204"/>
      <c r="AJ63" s="1204"/>
      <c r="AK63" s="1212"/>
      <c r="AL63" s="1213"/>
      <c r="AM63" s="1213"/>
      <c r="AN63" s="1214"/>
      <c r="AO63" s="266"/>
      <c r="AP63" s="266"/>
      <c r="AQ63" s="266"/>
      <c r="AR63" s="266"/>
      <c r="AS63" s="266"/>
      <c r="AT63" s="266"/>
      <c r="AU63" s="266"/>
      <c r="AV63" s="266"/>
      <c r="AW63" s="266"/>
      <c r="AX63" s="266"/>
      <c r="AY63" s="266"/>
      <c r="AZ63" s="266"/>
      <c r="BA63" s="266"/>
      <c r="BB63" s="266"/>
      <c r="BC63" s="266"/>
      <c r="BD63" s="266"/>
      <c r="BE63" s="266"/>
      <c r="BF63" s="266"/>
      <c r="BG63" s="266"/>
      <c r="BH63" s="266"/>
      <c r="BI63" s="266"/>
      <c r="BJ63" s="266"/>
      <c r="BK63" s="266"/>
      <c r="BL63" s="266"/>
      <c r="BM63" s="266"/>
      <c r="BN63" s="266"/>
      <c r="BO63" s="266"/>
      <c r="BP63" s="266"/>
      <c r="BQ63" s="266"/>
      <c r="BR63" s="266"/>
      <c r="BS63" s="266"/>
      <c r="BT63" s="266"/>
      <c r="BU63" s="266"/>
    </row>
    <row r="64" spans="1:73" ht="18" customHeight="1">
      <c r="A64" s="1202" t="str">
        <f>VLOOKUP("massnahmenfür",Translations!$A:$T,MATCH(Cover!DR19,Translations!A2:P2,0),0)</f>
        <v>Measures for</v>
      </c>
      <c r="B64" s="1203"/>
      <c r="C64" s="1203"/>
      <c r="D64" s="1203"/>
      <c r="E64" s="1203"/>
      <c r="F64" s="1203"/>
      <c r="G64" s="1220" t="str">
        <f>VLOOKUP("RPZ&gt;300",Translations!$A:$T,MATCH(Cover!DR19,Translations!A2:P2,0),0)</f>
        <v>RPN &gt; 300</v>
      </c>
      <c r="H64" s="1220"/>
      <c r="I64" s="1220"/>
      <c r="J64" s="1221"/>
      <c r="K64" s="1204"/>
      <c r="L64" s="1204"/>
      <c r="M64" s="1204"/>
      <c r="N64" s="1204"/>
      <c r="O64" s="1204"/>
      <c r="P64" s="1204"/>
      <c r="Q64" s="1204"/>
      <c r="R64" s="1204"/>
      <c r="S64" s="1204"/>
      <c r="T64" s="1204"/>
      <c r="U64" s="1204"/>
      <c r="V64" s="1204"/>
      <c r="W64" s="1204"/>
      <c r="X64" s="1204"/>
      <c r="Y64" s="1204"/>
      <c r="Z64" s="1204"/>
      <c r="AA64" s="1204"/>
      <c r="AB64" s="1204"/>
      <c r="AC64" s="1204"/>
      <c r="AD64" s="1204"/>
      <c r="AE64" s="1204"/>
      <c r="AF64" s="1204"/>
      <c r="AG64" s="1204"/>
      <c r="AH64" s="1204"/>
      <c r="AI64" s="1204"/>
      <c r="AJ64" s="1204"/>
      <c r="AK64" s="1212"/>
      <c r="AL64" s="1213"/>
      <c r="AM64" s="1213"/>
      <c r="AN64" s="1214"/>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6"/>
      <c r="BR64" s="266"/>
      <c r="BS64" s="266"/>
      <c r="BT64" s="266"/>
      <c r="BU64" s="266"/>
    </row>
    <row r="65" spans="1:73" ht="18" customHeight="1">
      <c r="A65" s="1200" t="str">
        <f>VLOOKUP("summespaltenmassnahmen",Translations!$A:$T,MATCH(Cover!DR19,Translations!A2:P2,0),0)</f>
        <v>Total of columns with measures</v>
      </c>
      <c r="B65" s="1201"/>
      <c r="C65" s="1201"/>
      <c r="D65" s="1201"/>
      <c r="E65" s="1201"/>
      <c r="F65" s="1201"/>
      <c r="G65" s="1201"/>
      <c r="H65" s="1201"/>
      <c r="I65" s="1201"/>
      <c r="J65" s="1211"/>
      <c r="K65" s="1204"/>
      <c r="L65" s="1204"/>
      <c r="M65" s="1204"/>
      <c r="N65" s="1204"/>
      <c r="O65" s="1204"/>
      <c r="P65" s="1204"/>
      <c r="Q65" s="1204"/>
      <c r="R65" s="1204"/>
      <c r="S65" s="1204"/>
      <c r="T65" s="1204"/>
      <c r="U65" s="1204"/>
      <c r="V65" s="1204"/>
      <c r="W65" s="1204"/>
      <c r="X65" s="1204"/>
      <c r="Y65" s="1204"/>
      <c r="Z65" s="1204"/>
      <c r="AA65" s="1204"/>
      <c r="AB65" s="1204"/>
      <c r="AC65" s="1204"/>
      <c r="AD65" s="1204"/>
      <c r="AE65" s="1204"/>
      <c r="AF65" s="1204"/>
      <c r="AG65" s="1204"/>
      <c r="AH65" s="1204"/>
      <c r="AI65" s="1204"/>
      <c r="AJ65" s="1204"/>
      <c r="AK65" s="1212"/>
      <c r="AL65" s="1213"/>
      <c r="AM65" s="1213"/>
      <c r="AN65" s="1214"/>
      <c r="AO65" s="266"/>
      <c r="AP65" s="266"/>
      <c r="AQ65" s="266"/>
      <c r="AR65" s="266"/>
      <c r="AS65" s="266"/>
      <c r="AT65" s="266"/>
      <c r="AU65" s="266"/>
      <c r="AV65" s="266"/>
      <c r="AW65" s="266"/>
      <c r="AX65" s="266"/>
      <c r="AY65" s="266"/>
      <c r="AZ65" s="266"/>
      <c r="BA65" s="266"/>
      <c r="BB65" s="266"/>
      <c r="BC65" s="266"/>
      <c r="BD65" s="266"/>
      <c r="BE65" s="266"/>
      <c r="BF65" s="266"/>
      <c r="BG65" s="266"/>
      <c r="BH65" s="266"/>
      <c r="BI65" s="266"/>
      <c r="BJ65" s="266"/>
      <c r="BK65" s="266"/>
      <c r="BL65" s="266"/>
      <c r="BM65" s="266"/>
      <c r="BN65" s="266"/>
      <c r="BO65" s="266"/>
      <c r="BP65" s="266"/>
      <c r="BQ65" s="266"/>
      <c r="BR65" s="266"/>
      <c r="BS65" s="266"/>
      <c r="BT65" s="266"/>
      <c r="BU65" s="266"/>
    </row>
    <row r="66" spans="1:73" ht="18" customHeight="1" thickBot="1">
      <c r="A66" s="1208" t="str">
        <f>VLOOKUP("anzahlfehlerursachen",Translations!$A:$T,MATCH(Cover!DR19,Translations!A2:P2,0),0)</f>
        <v>Number of failure causes/elements</v>
      </c>
      <c r="B66" s="1209"/>
      <c r="C66" s="1209"/>
      <c r="D66" s="1209"/>
      <c r="E66" s="1209"/>
      <c r="F66" s="1209"/>
      <c r="G66" s="1209"/>
      <c r="H66" s="1209"/>
      <c r="I66" s="1209"/>
      <c r="J66" s="1210"/>
      <c r="K66" s="1207"/>
      <c r="L66" s="1207"/>
      <c r="M66" s="1207"/>
      <c r="N66" s="1207"/>
      <c r="O66" s="1207"/>
      <c r="P66" s="1207"/>
      <c r="Q66" s="1207"/>
      <c r="R66" s="1207"/>
      <c r="S66" s="1207"/>
      <c r="T66" s="1207"/>
      <c r="U66" s="1207"/>
      <c r="V66" s="1207"/>
      <c r="W66" s="1207"/>
      <c r="X66" s="1207"/>
      <c r="Y66" s="1207"/>
      <c r="Z66" s="1207"/>
      <c r="AA66" s="1207"/>
      <c r="AB66" s="1207"/>
      <c r="AC66" s="1207"/>
      <c r="AD66" s="1207"/>
      <c r="AE66" s="1207"/>
      <c r="AF66" s="1207"/>
      <c r="AG66" s="1207"/>
      <c r="AH66" s="1207"/>
      <c r="AI66" s="1207"/>
      <c r="AJ66" s="1207"/>
      <c r="AK66" s="1215"/>
      <c r="AL66" s="1216"/>
      <c r="AM66" s="1216"/>
      <c r="AN66" s="1217"/>
      <c r="AO66" s="266"/>
      <c r="AP66" s="266"/>
      <c r="AQ66" s="266"/>
      <c r="AR66" s="266"/>
      <c r="AS66" s="266"/>
      <c r="AT66" s="266"/>
      <c r="AU66" s="266"/>
      <c r="AV66" s="266"/>
      <c r="AW66" s="266"/>
      <c r="AX66" s="266"/>
      <c r="AY66" s="266"/>
      <c r="AZ66" s="266"/>
      <c r="BA66" s="266"/>
      <c r="BB66" s="266"/>
      <c r="BC66" s="266"/>
      <c r="BD66" s="266"/>
      <c r="BE66" s="266"/>
      <c r="BF66" s="266"/>
      <c r="BG66" s="266"/>
      <c r="BH66" s="266"/>
      <c r="BI66" s="266"/>
      <c r="BJ66" s="266"/>
      <c r="BK66" s="266"/>
      <c r="BL66" s="266"/>
      <c r="BM66" s="266"/>
      <c r="BN66" s="266"/>
      <c r="BO66" s="266"/>
      <c r="BP66" s="266"/>
      <c r="BQ66" s="266"/>
      <c r="BR66" s="266"/>
      <c r="BS66" s="266"/>
      <c r="BT66" s="266"/>
      <c r="BU66" s="266"/>
    </row>
    <row r="67" spans="1:73" ht="6" customHeight="1">
      <c r="AO67" s="266"/>
      <c r="AP67" s="266"/>
      <c r="AQ67" s="266"/>
      <c r="AR67" s="266"/>
      <c r="AS67" s="266"/>
      <c r="AT67" s="266"/>
      <c r="AU67" s="266"/>
      <c r="AV67" s="266"/>
      <c r="AW67" s="266"/>
      <c r="AX67" s="266"/>
      <c r="AY67" s="266"/>
      <c r="AZ67" s="266"/>
      <c r="BA67" s="266"/>
      <c r="BB67" s="266"/>
      <c r="BC67" s="266"/>
      <c r="BD67" s="266"/>
      <c r="BE67" s="266"/>
      <c r="BF67" s="266"/>
      <c r="BG67" s="266"/>
      <c r="BH67" s="266"/>
      <c r="BI67" s="266"/>
      <c r="BJ67" s="266"/>
      <c r="BK67" s="266"/>
      <c r="BL67" s="266"/>
      <c r="BM67" s="266"/>
      <c r="BN67" s="266"/>
      <c r="BO67" s="266"/>
      <c r="BP67" s="266"/>
      <c r="BQ67" s="266"/>
      <c r="BR67" s="266"/>
      <c r="BS67" s="266"/>
      <c r="BT67" s="266"/>
      <c r="BU67" s="266"/>
    </row>
    <row r="68" spans="1:73">
      <c r="AO68" s="266"/>
      <c r="AP68" s="266"/>
      <c r="AQ68" s="266"/>
      <c r="AR68" s="266"/>
      <c r="AS68" s="266"/>
      <c r="AT68" s="266"/>
      <c r="AU68" s="266"/>
      <c r="AV68" s="266"/>
      <c r="AW68" s="266"/>
      <c r="AX68" s="266"/>
      <c r="AY68" s="266"/>
      <c r="AZ68" s="266"/>
      <c r="BA68" s="266"/>
      <c r="BB68" s="266"/>
      <c r="BC68" s="266"/>
      <c r="BD68" s="266"/>
      <c r="BE68" s="266"/>
      <c r="BF68" s="266"/>
      <c r="BG68" s="266"/>
      <c r="BH68" s="266"/>
      <c r="BI68" s="266"/>
      <c r="BJ68" s="266"/>
      <c r="BK68" s="266"/>
      <c r="BL68" s="266"/>
      <c r="BM68" s="266"/>
      <c r="BN68" s="266"/>
      <c r="BO68" s="266"/>
      <c r="BP68" s="266"/>
      <c r="BQ68" s="266"/>
      <c r="BR68" s="266"/>
      <c r="BS68" s="266"/>
      <c r="BT68" s="266"/>
      <c r="BU68" s="266"/>
    </row>
    <row r="69" spans="1:73">
      <c r="AO69" s="266"/>
      <c r="AP69" s="266"/>
      <c r="AQ69" s="266"/>
      <c r="AR69" s="266"/>
      <c r="AS69" s="266"/>
      <c r="AT69" s="266"/>
      <c r="AU69" s="266"/>
      <c r="AV69" s="266"/>
      <c r="AW69" s="266"/>
      <c r="AX69" s="266"/>
      <c r="AY69" s="266"/>
      <c r="AZ69" s="266"/>
      <c r="BA69" s="266"/>
      <c r="BB69" s="266"/>
      <c r="BC69" s="266"/>
      <c r="BD69" s="266"/>
      <c r="BE69" s="266"/>
      <c r="BF69" s="266"/>
      <c r="BG69" s="266"/>
      <c r="BH69" s="266"/>
      <c r="BI69" s="266"/>
      <c r="BJ69" s="266"/>
      <c r="BK69" s="266"/>
      <c r="BL69" s="266"/>
      <c r="BM69" s="266"/>
      <c r="BN69" s="266"/>
      <c r="BO69" s="266"/>
      <c r="BP69" s="266"/>
      <c r="BQ69" s="266"/>
      <c r="BR69" s="266"/>
      <c r="BS69" s="266"/>
      <c r="BT69" s="266"/>
      <c r="BU69" s="266"/>
    </row>
    <row r="70" spans="1:73">
      <c r="AO70" s="266"/>
      <c r="AP70" s="266"/>
      <c r="AQ70" s="266"/>
      <c r="AR70" s="266"/>
      <c r="AS70" s="266"/>
      <c r="AT70" s="266"/>
      <c r="AU70" s="266"/>
      <c r="AV70" s="266"/>
      <c r="AW70" s="266"/>
      <c r="AX70" s="266"/>
      <c r="AY70" s="266"/>
      <c r="AZ70" s="266"/>
      <c r="BA70" s="266"/>
      <c r="BB70" s="266"/>
      <c r="BC70" s="266"/>
      <c r="BD70" s="266"/>
      <c r="BE70" s="266"/>
      <c r="BF70" s="266"/>
      <c r="BG70" s="266"/>
      <c r="BH70" s="266"/>
      <c r="BI70" s="266"/>
      <c r="BJ70" s="266"/>
      <c r="BK70" s="266"/>
      <c r="BL70" s="266"/>
      <c r="BM70" s="266"/>
      <c r="BN70" s="266"/>
      <c r="BO70" s="266"/>
      <c r="BP70" s="266"/>
      <c r="BQ70" s="266"/>
      <c r="BR70" s="266"/>
      <c r="BS70" s="266"/>
      <c r="BT70" s="266"/>
      <c r="BU70" s="266"/>
    </row>
    <row r="71" spans="1:73">
      <c r="AO71" s="266"/>
      <c r="AP71" s="266"/>
      <c r="AQ71" s="266"/>
      <c r="AR71" s="266"/>
      <c r="AS71" s="266"/>
      <c r="AT71" s="266"/>
      <c r="AU71" s="266"/>
      <c r="AV71" s="266"/>
      <c r="AW71" s="266"/>
      <c r="AX71" s="266"/>
      <c r="AY71" s="266"/>
      <c r="AZ71" s="266"/>
      <c r="BA71" s="266"/>
      <c r="BB71" s="266"/>
      <c r="BC71" s="266"/>
      <c r="BD71" s="266"/>
      <c r="BE71" s="266"/>
      <c r="BF71" s="266"/>
      <c r="BG71" s="266"/>
      <c r="BH71" s="266"/>
      <c r="BI71" s="266"/>
      <c r="BJ71" s="266"/>
      <c r="BK71" s="266"/>
      <c r="BL71" s="266"/>
      <c r="BM71" s="266"/>
      <c r="BN71" s="266"/>
      <c r="BO71" s="266"/>
      <c r="BP71" s="266"/>
      <c r="BQ71" s="266"/>
      <c r="BR71" s="266"/>
      <c r="BS71" s="266"/>
      <c r="BT71" s="266"/>
      <c r="BU71" s="266"/>
    </row>
    <row r="72" spans="1:73">
      <c r="AO72" s="266"/>
      <c r="AP72" s="266"/>
      <c r="AQ72" s="266"/>
      <c r="AR72" s="266"/>
      <c r="AS72" s="266"/>
      <c r="AT72" s="266"/>
      <c r="AU72" s="266"/>
      <c r="AV72" s="266"/>
      <c r="AW72" s="266"/>
      <c r="AX72" s="266"/>
      <c r="AY72" s="266"/>
      <c r="AZ72" s="266"/>
      <c r="BA72" s="266"/>
      <c r="BB72" s="266"/>
      <c r="BC72" s="266"/>
      <c r="BD72" s="266"/>
      <c r="BE72" s="266"/>
      <c r="BF72" s="266"/>
      <c r="BG72" s="266"/>
      <c r="BH72" s="266"/>
      <c r="BI72" s="266"/>
      <c r="BJ72" s="266"/>
      <c r="BK72" s="266"/>
      <c r="BL72" s="266"/>
      <c r="BM72" s="266"/>
      <c r="BN72" s="266"/>
      <c r="BO72" s="266"/>
      <c r="BP72" s="266"/>
      <c r="BQ72" s="266"/>
      <c r="BR72" s="266"/>
      <c r="BS72" s="266"/>
      <c r="BT72" s="266"/>
      <c r="BU72" s="266"/>
    </row>
    <row r="73" spans="1:73">
      <c r="AO73" s="266"/>
      <c r="AP73" s="266"/>
      <c r="AQ73" s="266"/>
      <c r="AR73" s="266"/>
      <c r="AS73" s="266"/>
      <c r="AT73" s="266"/>
      <c r="AU73" s="266"/>
      <c r="AV73" s="266"/>
      <c r="AW73" s="266"/>
      <c r="AX73" s="266"/>
      <c r="AY73" s="266"/>
      <c r="AZ73" s="266"/>
      <c r="BA73" s="266"/>
      <c r="BB73" s="266"/>
      <c r="BC73" s="266"/>
      <c r="BD73" s="266"/>
      <c r="BE73" s="266"/>
      <c r="BF73" s="266"/>
      <c r="BG73" s="266"/>
      <c r="BH73" s="266"/>
      <c r="BI73" s="266"/>
      <c r="BJ73" s="266"/>
      <c r="BK73" s="266"/>
      <c r="BL73" s="266"/>
      <c r="BM73" s="266"/>
      <c r="BN73" s="266"/>
      <c r="BO73" s="266"/>
      <c r="BP73" s="266"/>
      <c r="BQ73" s="266"/>
      <c r="BR73" s="266"/>
      <c r="BS73" s="266"/>
      <c r="BT73" s="266"/>
      <c r="BU73" s="266"/>
    </row>
    <row r="74" spans="1:73">
      <c r="AO74" s="266"/>
      <c r="AP74" s="266"/>
      <c r="AQ74" s="266"/>
      <c r="AR74" s="266"/>
      <c r="AS74" s="266"/>
      <c r="AT74" s="266"/>
      <c r="AU74" s="266"/>
      <c r="AV74" s="266"/>
      <c r="AW74" s="266"/>
      <c r="AX74" s="266"/>
      <c r="AY74" s="266"/>
      <c r="AZ74" s="266"/>
      <c r="BA74" s="266"/>
      <c r="BB74" s="266"/>
      <c r="BC74" s="266"/>
      <c r="BD74" s="266"/>
      <c r="BE74" s="266"/>
      <c r="BF74" s="266"/>
      <c r="BG74" s="266"/>
      <c r="BH74" s="266"/>
      <c r="BI74" s="266"/>
      <c r="BJ74" s="266"/>
      <c r="BK74" s="266"/>
      <c r="BL74" s="266"/>
      <c r="BM74" s="266"/>
      <c r="BN74" s="266"/>
      <c r="BO74" s="266"/>
      <c r="BP74" s="266"/>
      <c r="BQ74" s="266"/>
      <c r="BR74" s="266"/>
      <c r="BS74" s="266"/>
      <c r="BT74" s="266"/>
      <c r="BU74" s="266"/>
    </row>
    <row r="75" spans="1:73">
      <c r="AO75" s="266"/>
      <c r="AP75" s="266"/>
      <c r="AQ75" s="266"/>
      <c r="AR75" s="266"/>
      <c r="AS75" s="266"/>
      <c r="AT75" s="266"/>
      <c r="AU75" s="266"/>
      <c r="AV75" s="266"/>
      <c r="AW75" s="266"/>
      <c r="AX75" s="266"/>
      <c r="AY75" s="266"/>
      <c r="AZ75" s="266"/>
      <c r="BA75" s="266"/>
      <c r="BB75" s="266"/>
      <c r="BC75" s="266"/>
      <c r="BD75" s="266"/>
      <c r="BE75" s="266"/>
      <c r="BF75" s="266"/>
      <c r="BG75" s="266"/>
      <c r="BH75" s="266"/>
      <c r="BI75" s="266"/>
      <c r="BJ75" s="266"/>
      <c r="BK75" s="266"/>
      <c r="BL75" s="266"/>
      <c r="BM75" s="266"/>
      <c r="BN75" s="266"/>
      <c r="BO75" s="266"/>
      <c r="BP75" s="266"/>
      <c r="BQ75" s="266"/>
      <c r="BR75" s="266"/>
      <c r="BS75" s="266"/>
      <c r="BT75" s="266"/>
      <c r="BU75" s="266"/>
    </row>
    <row r="76" spans="1:73">
      <c r="AO76" s="266"/>
      <c r="AP76" s="266"/>
      <c r="AQ76" s="266"/>
      <c r="AR76" s="266"/>
      <c r="AS76" s="266"/>
      <c r="AT76" s="266"/>
      <c r="AU76" s="266"/>
      <c r="AV76" s="266"/>
      <c r="AW76" s="266"/>
      <c r="AX76" s="266"/>
      <c r="AY76" s="266"/>
      <c r="AZ76" s="266"/>
      <c r="BA76" s="266"/>
      <c r="BB76" s="266"/>
      <c r="BC76" s="266"/>
      <c r="BD76" s="266"/>
      <c r="BE76" s="266"/>
      <c r="BF76" s="266"/>
      <c r="BG76" s="266"/>
      <c r="BH76" s="266"/>
      <c r="BI76" s="266"/>
      <c r="BJ76" s="266"/>
      <c r="BK76" s="266"/>
      <c r="BL76" s="266"/>
      <c r="BM76" s="266"/>
      <c r="BN76" s="266"/>
      <c r="BO76" s="266"/>
      <c r="BP76" s="266"/>
      <c r="BQ76" s="266"/>
      <c r="BR76" s="266"/>
      <c r="BS76" s="266"/>
      <c r="BT76" s="266"/>
      <c r="BU76" s="266"/>
    </row>
    <row r="77" spans="1:73">
      <c r="AO77" s="266"/>
      <c r="AP77" s="266"/>
      <c r="AQ77" s="266"/>
      <c r="AR77" s="266"/>
      <c r="AS77" s="266"/>
      <c r="AT77" s="266"/>
      <c r="AU77" s="266"/>
      <c r="AV77" s="266"/>
      <c r="AW77" s="266"/>
      <c r="AX77" s="266"/>
      <c r="AY77" s="266"/>
      <c r="AZ77" s="266"/>
      <c r="BA77" s="266"/>
      <c r="BB77" s="266"/>
      <c r="BC77" s="266"/>
      <c r="BD77" s="266"/>
      <c r="BE77" s="266"/>
      <c r="BF77" s="266"/>
      <c r="BG77" s="266"/>
      <c r="BH77" s="266"/>
      <c r="BI77" s="266"/>
      <c r="BJ77" s="266"/>
      <c r="BK77" s="266"/>
      <c r="BL77" s="266"/>
      <c r="BM77" s="266"/>
      <c r="BN77" s="266"/>
      <c r="BO77" s="266"/>
      <c r="BP77" s="266"/>
      <c r="BQ77" s="266"/>
      <c r="BR77" s="266"/>
      <c r="BS77" s="266"/>
      <c r="BT77" s="266"/>
      <c r="BU77" s="266"/>
    </row>
    <row r="78" spans="1:73">
      <c r="AO78" s="266"/>
      <c r="AP78" s="266"/>
      <c r="AQ78" s="266"/>
      <c r="AR78" s="266"/>
      <c r="AS78" s="266"/>
      <c r="AT78" s="266"/>
      <c r="AU78" s="266"/>
      <c r="AV78" s="266"/>
      <c r="AW78" s="266"/>
      <c r="AX78" s="266"/>
      <c r="AY78" s="266"/>
      <c r="AZ78" s="266"/>
      <c r="BA78" s="266"/>
      <c r="BB78" s="266"/>
      <c r="BC78" s="266"/>
      <c r="BD78" s="266"/>
      <c r="BE78" s="266"/>
      <c r="BF78" s="266"/>
      <c r="BG78" s="266"/>
      <c r="BH78" s="266"/>
      <c r="BI78" s="266"/>
      <c r="BJ78" s="266"/>
      <c r="BK78" s="266"/>
      <c r="BL78" s="266"/>
      <c r="BM78" s="266"/>
      <c r="BN78" s="266"/>
      <c r="BO78" s="266"/>
      <c r="BP78" s="266"/>
      <c r="BQ78" s="266"/>
      <c r="BR78" s="266"/>
      <c r="BS78" s="266"/>
      <c r="BT78" s="266"/>
      <c r="BU78" s="266"/>
    </row>
    <row r="79" spans="1:73">
      <c r="AO79" s="266"/>
      <c r="AP79" s="266"/>
      <c r="AQ79" s="266"/>
      <c r="AR79" s="266"/>
      <c r="AS79" s="266"/>
      <c r="AT79" s="266"/>
      <c r="AU79" s="266"/>
      <c r="AV79" s="266"/>
      <c r="AW79" s="266"/>
      <c r="AX79" s="266"/>
      <c r="AY79" s="266"/>
      <c r="AZ79" s="266"/>
      <c r="BA79" s="266"/>
      <c r="BB79" s="266"/>
      <c r="BC79" s="266"/>
      <c r="BD79" s="266"/>
      <c r="BE79" s="266"/>
      <c r="BF79" s="266"/>
      <c r="BG79" s="266"/>
      <c r="BH79" s="266"/>
      <c r="BI79" s="266"/>
      <c r="BJ79" s="266"/>
      <c r="BK79" s="266"/>
      <c r="BL79" s="266"/>
      <c r="BM79" s="266"/>
      <c r="BN79" s="266"/>
      <c r="BO79" s="266"/>
      <c r="BP79" s="266"/>
      <c r="BQ79" s="266"/>
      <c r="BR79" s="266"/>
      <c r="BS79" s="266"/>
      <c r="BT79" s="266"/>
      <c r="BU79" s="266"/>
    </row>
    <row r="80" spans="1:73">
      <c r="AO80" s="266"/>
      <c r="AP80" s="266"/>
      <c r="AQ80" s="266"/>
      <c r="AR80" s="266"/>
      <c r="AS80" s="266"/>
      <c r="AT80" s="266"/>
      <c r="AU80" s="266"/>
      <c r="AV80" s="266"/>
      <c r="AW80" s="266"/>
      <c r="AX80" s="266"/>
      <c r="AY80" s="266"/>
      <c r="AZ80" s="266"/>
      <c r="BA80" s="266"/>
      <c r="BB80" s="266"/>
      <c r="BC80" s="266"/>
      <c r="BD80" s="266"/>
      <c r="BE80" s="266"/>
      <c r="BF80" s="266"/>
      <c r="BG80" s="266"/>
      <c r="BH80" s="266"/>
      <c r="BI80" s="266"/>
      <c r="BJ80" s="266"/>
      <c r="BK80" s="266"/>
      <c r="BL80" s="266"/>
      <c r="BM80" s="266"/>
      <c r="BN80" s="266"/>
      <c r="BO80" s="266"/>
      <c r="BP80" s="266"/>
      <c r="BQ80" s="266"/>
      <c r="BR80" s="266"/>
      <c r="BS80" s="266"/>
      <c r="BT80" s="266"/>
      <c r="BU80" s="266"/>
    </row>
    <row r="81" spans="41:73">
      <c r="AO81" s="266"/>
      <c r="AP81" s="266"/>
      <c r="AQ81" s="266"/>
      <c r="AR81" s="266"/>
      <c r="AS81" s="266"/>
      <c r="AT81" s="266"/>
      <c r="AU81" s="266"/>
      <c r="AV81" s="266"/>
      <c r="AW81" s="266"/>
      <c r="AX81" s="266"/>
      <c r="AY81" s="266"/>
      <c r="AZ81" s="266"/>
      <c r="BA81" s="266"/>
      <c r="BB81" s="266"/>
      <c r="BC81" s="266"/>
      <c r="BD81" s="266"/>
      <c r="BE81" s="266"/>
      <c r="BF81" s="266"/>
      <c r="BG81" s="266"/>
      <c r="BH81" s="266"/>
      <c r="BI81" s="266"/>
      <c r="BJ81" s="266"/>
      <c r="BK81" s="266"/>
      <c r="BL81" s="266"/>
      <c r="BM81" s="266"/>
      <c r="BN81" s="266"/>
      <c r="BO81" s="266"/>
      <c r="BP81" s="266"/>
      <c r="BQ81" s="266"/>
      <c r="BR81" s="266"/>
      <c r="BS81" s="266"/>
      <c r="BT81" s="266"/>
      <c r="BU81" s="266"/>
    </row>
    <row r="82" spans="41:73">
      <c r="AO82" s="266"/>
      <c r="AP82" s="266"/>
      <c r="AQ82" s="266"/>
      <c r="AR82" s="266"/>
      <c r="AS82" s="266"/>
      <c r="AT82" s="266"/>
      <c r="AU82" s="266"/>
      <c r="AV82" s="266"/>
      <c r="AW82" s="266"/>
      <c r="AX82" s="266"/>
      <c r="AY82" s="266"/>
      <c r="AZ82" s="266"/>
      <c r="BA82" s="266"/>
      <c r="BB82" s="266"/>
      <c r="BC82" s="266"/>
      <c r="BD82" s="266"/>
      <c r="BE82" s="266"/>
      <c r="BF82" s="266"/>
      <c r="BG82" s="266"/>
      <c r="BH82" s="266"/>
      <c r="BI82" s="266"/>
      <c r="BJ82" s="266"/>
      <c r="BK82" s="266"/>
      <c r="BL82" s="266"/>
      <c r="BM82" s="266"/>
      <c r="BN82" s="266"/>
      <c r="BO82" s="266"/>
      <c r="BP82" s="266"/>
      <c r="BQ82" s="266"/>
      <c r="BR82" s="266"/>
      <c r="BS82" s="266"/>
      <c r="BT82" s="266"/>
      <c r="BU82" s="266"/>
    </row>
    <row r="83" spans="41:73">
      <c r="AO83" s="266"/>
      <c r="AP83" s="266"/>
      <c r="AQ83" s="266"/>
      <c r="AR83" s="266"/>
      <c r="AS83" s="266"/>
      <c r="AT83" s="266"/>
      <c r="AU83" s="266"/>
      <c r="AV83" s="266"/>
      <c r="AW83" s="266"/>
      <c r="AX83" s="266"/>
      <c r="AY83" s="266"/>
      <c r="AZ83" s="266"/>
      <c r="BA83" s="266"/>
      <c r="BB83" s="266"/>
      <c r="BC83" s="266"/>
      <c r="BD83" s="266"/>
      <c r="BE83" s="266"/>
      <c r="BF83" s="266"/>
      <c r="BG83" s="266"/>
      <c r="BH83" s="266"/>
      <c r="BI83" s="266"/>
      <c r="BJ83" s="266"/>
      <c r="BK83" s="266"/>
      <c r="BL83" s="266"/>
      <c r="BM83" s="266"/>
      <c r="BN83" s="266"/>
      <c r="BO83" s="266"/>
      <c r="BP83" s="266"/>
      <c r="BQ83" s="266"/>
      <c r="BR83" s="266"/>
      <c r="BS83" s="266"/>
      <c r="BT83" s="266"/>
      <c r="BU83" s="266"/>
    </row>
    <row r="84" spans="41:73">
      <c r="AO84" s="266"/>
      <c r="AP84" s="266"/>
      <c r="AQ84" s="266"/>
      <c r="AR84" s="266"/>
      <c r="AS84" s="266"/>
      <c r="AT84" s="266"/>
      <c r="AU84" s="266"/>
      <c r="AV84" s="266"/>
      <c r="AW84" s="266"/>
      <c r="AX84" s="266"/>
      <c r="AY84" s="266"/>
      <c r="AZ84" s="266"/>
      <c r="BA84" s="266"/>
      <c r="BB84" s="266"/>
      <c r="BC84" s="266"/>
      <c r="BD84" s="266"/>
      <c r="BE84" s="266"/>
      <c r="BF84" s="266"/>
      <c r="BG84" s="266"/>
      <c r="BH84" s="266"/>
      <c r="BI84" s="266"/>
      <c r="BJ84" s="266"/>
      <c r="BK84" s="266"/>
      <c r="BL84" s="266"/>
      <c r="BM84" s="266"/>
      <c r="BN84" s="266"/>
      <c r="BO84" s="266"/>
      <c r="BP84" s="266"/>
      <c r="BQ84" s="266"/>
      <c r="BR84" s="266"/>
      <c r="BS84" s="266"/>
      <c r="BT84" s="266"/>
      <c r="BU84" s="266"/>
    </row>
    <row r="85" spans="41:73">
      <c r="AO85" s="266"/>
      <c r="AP85" s="266"/>
      <c r="AQ85" s="266"/>
      <c r="AR85" s="266"/>
      <c r="AS85" s="266"/>
      <c r="AT85" s="266"/>
      <c r="AU85" s="266"/>
      <c r="AV85" s="266"/>
      <c r="AW85" s="266"/>
      <c r="AX85" s="266"/>
      <c r="AY85" s="266"/>
      <c r="AZ85" s="266"/>
      <c r="BA85" s="266"/>
      <c r="BB85" s="266"/>
      <c r="BC85" s="266"/>
      <c r="BD85" s="266"/>
      <c r="BE85" s="266"/>
      <c r="BF85" s="266"/>
      <c r="BG85" s="266"/>
      <c r="BH85" s="266"/>
      <c r="BI85" s="266"/>
      <c r="BJ85" s="266"/>
      <c r="BK85" s="266"/>
      <c r="BL85" s="266"/>
      <c r="BM85" s="266"/>
      <c r="BN85" s="266"/>
      <c r="BO85" s="266"/>
      <c r="BP85" s="266"/>
      <c r="BQ85" s="266"/>
      <c r="BR85" s="266"/>
      <c r="BS85" s="266"/>
      <c r="BT85" s="266"/>
      <c r="BU85" s="266"/>
    </row>
    <row r="86" spans="41:73">
      <c r="AO86" s="266"/>
      <c r="AP86" s="266"/>
      <c r="AQ86" s="266"/>
      <c r="AR86" s="266"/>
      <c r="AS86" s="266"/>
      <c r="AT86" s="266"/>
      <c r="AU86" s="266"/>
      <c r="AV86" s="266"/>
      <c r="AW86" s="266"/>
      <c r="AX86" s="266"/>
      <c r="AY86" s="266"/>
      <c r="AZ86" s="266"/>
      <c r="BA86" s="266"/>
      <c r="BB86" s="266"/>
      <c r="BC86" s="266"/>
      <c r="BD86" s="266"/>
      <c r="BE86" s="266"/>
      <c r="BF86" s="266"/>
      <c r="BG86" s="266"/>
      <c r="BH86" s="266"/>
      <c r="BI86" s="266"/>
      <c r="BJ86" s="266"/>
      <c r="BK86" s="266"/>
      <c r="BL86" s="266"/>
      <c r="BM86" s="266"/>
      <c r="BN86" s="266"/>
      <c r="BO86" s="266"/>
      <c r="BP86" s="266"/>
      <c r="BQ86" s="266"/>
      <c r="BR86" s="266"/>
      <c r="BS86" s="266"/>
      <c r="BT86" s="266"/>
      <c r="BU86" s="266"/>
    </row>
    <row r="87" spans="41:73">
      <c r="AO87" s="266"/>
      <c r="AP87" s="266"/>
      <c r="AQ87" s="266"/>
      <c r="AR87" s="266"/>
      <c r="AS87" s="266"/>
      <c r="AT87" s="266"/>
      <c r="AU87" s="266"/>
      <c r="AV87" s="266"/>
      <c r="AW87" s="266"/>
      <c r="AX87" s="266"/>
      <c r="AY87" s="266"/>
      <c r="AZ87" s="266"/>
      <c r="BA87" s="266"/>
      <c r="BB87" s="266"/>
      <c r="BC87" s="266"/>
      <c r="BD87" s="266"/>
      <c r="BE87" s="266"/>
      <c r="BF87" s="266"/>
      <c r="BG87" s="266"/>
      <c r="BH87" s="266"/>
      <c r="BI87" s="266"/>
      <c r="BJ87" s="266"/>
      <c r="BK87" s="266"/>
      <c r="BL87" s="266"/>
      <c r="BM87" s="266"/>
      <c r="BN87" s="266"/>
      <c r="BO87" s="266"/>
      <c r="BP87" s="266"/>
      <c r="BQ87" s="266"/>
      <c r="BR87" s="266"/>
      <c r="BS87" s="266"/>
      <c r="BT87" s="266"/>
      <c r="BU87" s="266"/>
    </row>
    <row r="88" spans="41:73">
      <c r="AO88" s="266"/>
      <c r="AP88" s="266"/>
      <c r="AQ88" s="266"/>
      <c r="AR88" s="266"/>
      <c r="AS88" s="266"/>
      <c r="AT88" s="266"/>
      <c r="AU88" s="266"/>
      <c r="AV88" s="266"/>
      <c r="AW88" s="266"/>
      <c r="AX88" s="266"/>
      <c r="AY88" s="266"/>
      <c r="AZ88" s="266"/>
      <c r="BA88" s="266"/>
      <c r="BB88" s="266"/>
      <c r="BC88" s="266"/>
      <c r="BD88" s="266"/>
      <c r="BE88" s="266"/>
      <c r="BF88" s="266"/>
      <c r="BG88" s="266"/>
      <c r="BH88" s="266"/>
      <c r="BI88" s="266"/>
      <c r="BJ88" s="266"/>
      <c r="BK88" s="266"/>
      <c r="BL88" s="266"/>
      <c r="BM88" s="266"/>
      <c r="BN88" s="266"/>
      <c r="BO88" s="266"/>
      <c r="BP88" s="266"/>
      <c r="BQ88" s="266"/>
      <c r="BR88" s="266"/>
      <c r="BS88" s="266"/>
      <c r="BT88" s="266"/>
      <c r="BU88" s="266"/>
    </row>
    <row r="89" spans="41:73">
      <c r="AO89" s="266"/>
      <c r="AP89" s="266"/>
      <c r="AQ89" s="266"/>
      <c r="AR89" s="266"/>
      <c r="AS89" s="266"/>
      <c r="AT89" s="266"/>
      <c r="AU89" s="266"/>
      <c r="AV89" s="266"/>
      <c r="AW89" s="266"/>
      <c r="AX89" s="266"/>
      <c r="AY89" s="266"/>
      <c r="AZ89" s="266"/>
      <c r="BA89" s="266"/>
      <c r="BB89" s="266"/>
      <c r="BC89" s="266"/>
      <c r="BD89" s="266"/>
      <c r="BE89" s="266"/>
      <c r="BF89" s="266"/>
      <c r="BG89" s="266"/>
      <c r="BH89" s="266"/>
      <c r="BI89" s="266"/>
      <c r="BJ89" s="266"/>
      <c r="BK89" s="266"/>
      <c r="BL89" s="266"/>
      <c r="BM89" s="266"/>
      <c r="BN89" s="266"/>
      <c r="BO89" s="266"/>
      <c r="BP89" s="266"/>
      <c r="BQ89" s="266"/>
      <c r="BR89" s="266"/>
      <c r="BS89" s="266"/>
      <c r="BT89" s="266"/>
      <c r="BU89" s="266"/>
    </row>
    <row r="90" spans="41:73">
      <c r="AO90" s="266"/>
      <c r="AP90" s="266"/>
      <c r="AQ90" s="266"/>
      <c r="AR90" s="266"/>
      <c r="AS90" s="266"/>
      <c r="AT90" s="266"/>
      <c r="AU90" s="266"/>
      <c r="AV90" s="266"/>
      <c r="AW90" s="266"/>
      <c r="AX90" s="266"/>
      <c r="AY90" s="266"/>
      <c r="AZ90" s="266"/>
      <c r="BA90" s="266"/>
      <c r="BB90" s="266"/>
      <c r="BC90" s="266"/>
      <c r="BD90" s="266"/>
      <c r="BE90" s="266"/>
      <c r="BF90" s="266"/>
      <c r="BG90" s="266"/>
      <c r="BH90" s="266"/>
      <c r="BI90" s="266"/>
      <c r="BJ90" s="266"/>
      <c r="BK90" s="266"/>
      <c r="BL90" s="266"/>
      <c r="BM90" s="266"/>
      <c r="BN90" s="266"/>
      <c r="BO90" s="266"/>
      <c r="BP90" s="266"/>
      <c r="BQ90" s="266"/>
      <c r="BR90" s="266"/>
      <c r="BS90" s="266"/>
      <c r="BT90" s="266"/>
      <c r="BU90" s="266"/>
    </row>
    <row r="91" spans="41:73">
      <c r="AO91" s="266"/>
      <c r="AP91" s="266"/>
      <c r="AQ91" s="266"/>
      <c r="AR91" s="266"/>
      <c r="AS91" s="266"/>
      <c r="AT91" s="266"/>
      <c r="AU91" s="266"/>
      <c r="AV91" s="266"/>
      <c r="AW91" s="266"/>
      <c r="AX91" s="266"/>
      <c r="AY91" s="266"/>
      <c r="AZ91" s="266"/>
      <c r="BA91" s="266"/>
      <c r="BB91" s="266"/>
      <c r="BC91" s="266"/>
      <c r="BD91" s="266"/>
      <c r="BE91" s="266"/>
      <c r="BF91" s="266"/>
      <c r="BG91" s="266"/>
      <c r="BH91" s="266"/>
      <c r="BI91" s="266"/>
      <c r="BJ91" s="266"/>
      <c r="BK91" s="266"/>
      <c r="BL91" s="266"/>
      <c r="BM91" s="266"/>
      <c r="BN91" s="266"/>
      <c r="BO91" s="266"/>
      <c r="BP91" s="266"/>
      <c r="BQ91" s="266"/>
      <c r="BR91" s="266"/>
      <c r="BS91" s="266"/>
      <c r="BT91" s="266"/>
      <c r="BU91" s="266"/>
    </row>
    <row r="92" spans="41:73">
      <c r="AO92" s="266"/>
      <c r="AP92" s="266"/>
      <c r="AQ92" s="266"/>
      <c r="AR92" s="266"/>
      <c r="AS92" s="266"/>
      <c r="AT92" s="266"/>
      <c r="AU92" s="266"/>
      <c r="AV92" s="266"/>
      <c r="AW92" s="266"/>
      <c r="AX92" s="266"/>
      <c r="AY92" s="266"/>
      <c r="AZ92" s="266"/>
      <c r="BA92" s="266"/>
      <c r="BB92" s="266"/>
      <c r="BC92" s="266"/>
      <c r="BD92" s="266"/>
      <c r="BE92" s="266"/>
      <c r="BF92" s="266"/>
      <c r="BG92" s="266"/>
      <c r="BH92" s="266"/>
      <c r="BI92" s="266"/>
      <c r="BJ92" s="266"/>
      <c r="BK92" s="266"/>
      <c r="BL92" s="266"/>
      <c r="BM92" s="266"/>
      <c r="BN92" s="266"/>
      <c r="BO92" s="266"/>
      <c r="BP92" s="266"/>
      <c r="BQ92" s="266"/>
      <c r="BR92" s="266"/>
      <c r="BS92" s="266"/>
      <c r="BT92" s="266"/>
      <c r="BU92" s="266"/>
    </row>
    <row r="93" spans="41:73">
      <c r="AO93" s="266"/>
      <c r="AP93" s="266"/>
      <c r="AQ93" s="266"/>
      <c r="AR93" s="266"/>
      <c r="AS93" s="266"/>
      <c r="AT93" s="266"/>
      <c r="AU93" s="266"/>
      <c r="AV93" s="266"/>
      <c r="AW93" s="266"/>
      <c r="AX93" s="266"/>
      <c r="AY93" s="266"/>
      <c r="AZ93" s="266"/>
      <c r="BA93" s="266"/>
      <c r="BB93" s="266"/>
      <c r="BC93" s="266"/>
      <c r="BD93" s="266"/>
      <c r="BE93" s="266"/>
      <c r="BF93" s="266"/>
      <c r="BG93" s="266"/>
      <c r="BH93" s="266"/>
      <c r="BI93" s="266"/>
      <c r="BJ93" s="266"/>
      <c r="BK93" s="266"/>
      <c r="BL93" s="266"/>
      <c r="BM93" s="266"/>
      <c r="BN93" s="266"/>
      <c r="BO93" s="266"/>
      <c r="BP93" s="266"/>
      <c r="BQ93" s="266"/>
      <c r="BR93" s="266"/>
      <c r="BS93" s="266"/>
      <c r="BT93" s="266"/>
      <c r="BU93" s="266"/>
    </row>
    <row r="94" spans="41:73">
      <c r="AO94" s="266"/>
      <c r="AP94" s="266"/>
      <c r="AQ94" s="266"/>
      <c r="AR94" s="266"/>
      <c r="AS94" s="266"/>
      <c r="AT94" s="266"/>
      <c r="AU94" s="266"/>
      <c r="AV94" s="266"/>
      <c r="AW94" s="266"/>
      <c r="AX94" s="266"/>
      <c r="AY94" s="266"/>
      <c r="AZ94" s="266"/>
      <c r="BA94" s="266"/>
      <c r="BB94" s="266"/>
      <c r="BC94" s="266"/>
      <c r="BD94" s="266"/>
      <c r="BE94" s="266"/>
      <c r="BF94" s="266"/>
      <c r="BG94" s="266"/>
      <c r="BH94" s="266"/>
      <c r="BI94" s="266"/>
      <c r="BJ94" s="266"/>
      <c r="BK94" s="266"/>
      <c r="BL94" s="266"/>
      <c r="BM94" s="266"/>
      <c r="BN94" s="266"/>
      <c r="BO94" s="266"/>
      <c r="BP94" s="266"/>
      <c r="BQ94" s="266"/>
      <c r="BR94" s="266"/>
      <c r="BS94" s="266"/>
      <c r="BT94" s="266"/>
      <c r="BU94" s="266"/>
    </row>
    <row r="95" spans="41:73">
      <c r="AO95" s="266"/>
      <c r="AP95" s="266"/>
      <c r="AQ95" s="266"/>
      <c r="AR95" s="266"/>
      <c r="AS95" s="266"/>
      <c r="AT95" s="266"/>
      <c r="AU95" s="266"/>
      <c r="AV95" s="266"/>
      <c r="AW95" s="266"/>
      <c r="AX95" s="266"/>
      <c r="AY95" s="266"/>
      <c r="AZ95" s="266"/>
      <c r="BA95" s="266"/>
      <c r="BB95" s="266"/>
      <c r="BC95" s="266"/>
      <c r="BD95" s="266"/>
      <c r="BE95" s="266"/>
      <c r="BF95" s="266"/>
      <c r="BG95" s="266"/>
      <c r="BH95" s="266"/>
      <c r="BI95" s="266"/>
      <c r="BJ95" s="266"/>
      <c r="BK95" s="266"/>
      <c r="BL95" s="266"/>
      <c r="BM95" s="266"/>
      <c r="BN95" s="266"/>
      <c r="BO95" s="266"/>
      <c r="BP95" s="266"/>
      <c r="BQ95" s="266"/>
      <c r="BR95" s="266"/>
      <c r="BS95" s="266"/>
      <c r="BT95" s="266"/>
      <c r="BU95" s="266"/>
    </row>
    <row r="96" spans="41:73">
      <c r="AO96" s="266"/>
      <c r="AP96" s="266"/>
      <c r="AQ96" s="266"/>
      <c r="AR96" s="266"/>
      <c r="AS96" s="266"/>
      <c r="AT96" s="266"/>
      <c r="AU96" s="266"/>
      <c r="AV96" s="266"/>
      <c r="AW96" s="266"/>
      <c r="AX96" s="266"/>
      <c r="AY96" s="266"/>
      <c r="AZ96" s="266"/>
      <c r="BA96" s="266"/>
      <c r="BB96" s="266"/>
      <c r="BC96" s="266"/>
      <c r="BD96" s="266"/>
      <c r="BE96" s="266"/>
      <c r="BF96" s="266"/>
      <c r="BG96" s="266"/>
      <c r="BH96" s="266"/>
      <c r="BI96" s="266"/>
      <c r="BJ96" s="266"/>
      <c r="BK96" s="266"/>
      <c r="BL96" s="266"/>
      <c r="BM96" s="266"/>
      <c r="BN96" s="266"/>
      <c r="BO96" s="266"/>
      <c r="BP96" s="266"/>
      <c r="BQ96" s="266"/>
      <c r="BR96" s="266"/>
      <c r="BS96" s="266"/>
      <c r="BT96" s="266"/>
      <c r="BU96" s="266"/>
    </row>
    <row r="97" spans="41:73">
      <c r="AO97" s="266"/>
      <c r="AP97" s="266"/>
      <c r="AQ97" s="266"/>
      <c r="AR97" s="266"/>
      <c r="AS97" s="266"/>
      <c r="AT97" s="266"/>
      <c r="AU97" s="266"/>
      <c r="AV97" s="266"/>
      <c r="AW97" s="266"/>
      <c r="AX97" s="266"/>
      <c r="AY97" s="266"/>
      <c r="AZ97" s="266"/>
      <c r="BA97" s="266"/>
      <c r="BB97" s="266"/>
      <c r="BC97" s="266"/>
      <c r="BD97" s="266"/>
      <c r="BE97" s="266"/>
      <c r="BF97" s="266"/>
      <c r="BG97" s="266"/>
      <c r="BH97" s="266"/>
      <c r="BI97" s="266"/>
      <c r="BJ97" s="266"/>
      <c r="BK97" s="266"/>
      <c r="BL97" s="266"/>
      <c r="BM97" s="266"/>
      <c r="BN97" s="266"/>
      <c r="BO97" s="266"/>
      <c r="BP97" s="266"/>
      <c r="BQ97" s="266"/>
      <c r="BR97" s="266"/>
      <c r="BS97" s="266"/>
      <c r="BT97" s="266"/>
      <c r="BU97" s="266"/>
    </row>
    <row r="98" spans="41:73">
      <c r="AO98" s="266"/>
      <c r="AP98" s="266"/>
      <c r="AQ98" s="266"/>
      <c r="AR98" s="266"/>
      <c r="AS98" s="266"/>
      <c r="AT98" s="266"/>
      <c r="AU98" s="266"/>
      <c r="AV98" s="266"/>
      <c r="AW98" s="266"/>
      <c r="AX98" s="266"/>
      <c r="AY98" s="266"/>
      <c r="AZ98" s="266"/>
      <c r="BA98" s="266"/>
      <c r="BB98" s="266"/>
      <c r="BC98" s="266"/>
      <c r="BD98" s="266"/>
      <c r="BE98" s="266"/>
      <c r="BF98" s="266"/>
      <c r="BG98" s="266"/>
      <c r="BH98" s="266"/>
      <c r="BI98" s="266"/>
      <c r="BJ98" s="266"/>
      <c r="BK98" s="266"/>
      <c r="BL98" s="266"/>
      <c r="BM98" s="266"/>
      <c r="BN98" s="266"/>
      <c r="BO98" s="266"/>
      <c r="BP98" s="266"/>
      <c r="BQ98" s="266"/>
      <c r="BR98" s="266"/>
      <c r="BS98" s="266"/>
      <c r="BT98" s="266"/>
      <c r="BU98" s="266"/>
    </row>
    <row r="99" spans="41:73">
      <c r="AO99" s="266"/>
      <c r="AP99" s="266"/>
      <c r="AQ99" s="266"/>
      <c r="AR99" s="266"/>
      <c r="AS99" s="266"/>
      <c r="AT99" s="266"/>
      <c r="AU99" s="266"/>
      <c r="AV99" s="266"/>
      <c r="AW99" s="266"/>
      <c r="AX99" s="266"/>
      <c r="AY99" s="266"/>
      <c r="AZ99" s="266"/>
      <c r="BA99" s="266"/>
      <c r="BB99" s="266"/>
      <c r="BC99" s="266"/>
      <c r="BD99" s="266"/>
      <c r="BE99" s="266"/>
      <c r="BF99" s="266"/>
      <c r="BG99" s="266"/>
      <c r="BH99" s="266"/>
      <c r="BI99" s="266"/>
      <c r="BJ99" s="266"/>
      <c r="BK99" s="266"/>
      <c r="BL99" s="266"/>
      <c r="BM99" s="266"/>
      <c r="BN99" s="266"/>
      <c r="BO99" s="266"/>
      <c r="BP99" s="266"/>
      <c r="BQ99" s="266"/>
      <c r="BR99" s="266"/>
      <c r="BS99" s="266"/>
      <c r="BT99" s="266"/>
      <c r="BU99" s="266"/>
    </row>
    <row r="100" spans="41:73">
      <c r="AO100" s="266"/>
      <c r="AP100" s="266"/>
      <c r="AQ100" s="266"/>
      <c r="AR100" s="266"/>
      <c r="AS100" s="266"/>
      <c r="AT100" s="266"/>
      <c r="AU100" s="266"/>
      <c r="AV100" s="266"/>
      <c r="AW100" s="266"/>
      <c r="AX100" s="266"/>
      <c r="AY100" s="266"/>
      <c r="AZ100" s="266"/>
      <c r="BA100" s="266"/>
      <c r="BB100" s="266"/>
      <c r="BC100" s="266"/>
      <c r="BD100" s="266"/>
      <c r="BE100" s="266"/>
      <c r="BF100" s="266"/>
      <c r="BG100" s="266"/>
      <c r="BH100" s="266"/>
      <c r="BI100" s="266"/>
      <c r="BJ100" s="266"/>
      <c r="BK100" s="266"/>
      <c r="BL100" s="266"/>
      <c r="BM100" s="266"/>
      <c r="BN100" s="266"/>
      <c r="BO100" s="266"/>
      <c r="BP100" s="266"/>
      <c r="BQ100" s="266"/>
      <c r="BR100" s="266"/>
      <c r="BS100" s="266"/>
      <c r="BT100" s="266"/>
      <c r="BU100" s="266"/>
    </row>
    <row r="101" spans="41:73">
      <c r="AO101" s="266"/>
      <c r="AP101" s="266"/>
      <c r="AQ101" s="266"/>
      <c r="AR101" s="266"/>
      <c r="AS101" s="266"/>
      <c r="AT101" s="266"/>
      <c r="AU101" s="266"/>
      <c r="AV101" s="266"/>
      <c r="AW101" s="266"/>
      <c r="AX101" s="266"/>
      <c r="AY101" s="266"/>
      <c r="AZ101" s="266"/>
      <c r="BA101" s="266"/>
      <c r="BB101" s="266"/>
      <c r="BC101" s="266"/>
      <c r="BD101" s="266"/>
      <c r="BE101" s="266"/>
      <c r="BF101" s="266"/>
      <c r="BG101" s="266"/>
      <c r="BH101" s="266"/>
      <c r="BI101" s="266"/>
      <c r="BJ101" s="266"/>
      <c r="BK101" s="266"/>
      <c r="BL101" s="266"/>
      <c r="BM101" s="266"/>
      <c r="BN101" s="266"/>
      <c r="BO101" s="266"/>
      <c r="BP101" s="266"/>
      <c r="BQ101" s="266"/>
      <c r="BR101" s="266"/>
      <c r="BS101" s="266"/>
      <c r="BT101" s="266"/>
      <c r="BU101" s="266"/>
    </row>
    <row r="102" spans="41:73">
      <c r="AO102" s="266"/>
      <c r="AP102" s="266"/>
      <c r="AQ102" s="266"/>
      <c r="AR102" s="266"/>
      <c r="AS102" s="266"/>
      <c r="AT102" s="266"/>
      <c r="AU102" s="266"/>
      <c r="AV102" s="266"/>
      <c r="AW102" s="266"/>
      <c r="AX102" s="266"/>
      <c r="AY102" s="266"/>
      <c r="AZ102" s="266"/>
      <c r="BA102" s="266"/>
      <c r="BB102" s="266"/>
      <c r="BC102" s="266"/>
      <c r="BD102" s="266"/>
      <c r="BE102" s="266"/>
      <c r="BF102" s="266"/>
      <c r="BG102" s="266"/>
      <c r="BH102" s="266"/>
      <c r="BI102" s="266"/>
      <c r="BJ102" s="266"/>
      <c r="BK102" s="266"/>
      <c r="BL102" s="266"/>
      <c r="BM102" s="266"/>
      <c r="BN102" s="266"/>
      <c r="BO102" s="266"/>
      <c r="BP102" s="266"/>
      <c r="BQ102" s="266"/>
      <c r="BR102" s="266"/>
      <c r="BS102" s="266"/>
      <c r="BT102" s="266"/>
      <c r="BU102" s="266"/>
    </row>
    <row r="103" spans="41:73">
      <c r="AO103" s="266"/>
      <c r="AP103" s="266"/>
      <c r="AQ103" s="266"/>
      <c r="AR103" s="266"/>
      <c r="AS103" s="266"/>
      <c r="AT103" s="266"/>
      <c r="AU103" s="266"/>
      <c r="AV103" s="266"/>
      <c r="AW103" s="266"/>
      <c r="AX103" s="266"/>
      <c r="AY103" s="266"/>
      <c r="AZ103" s="266"/>
      <c r="BA103" s="266"/>
      <c r="BB103" s="266"/>
      <c r="BC103" s="266"/>
      <c r="BD103" s="266"/>
      <c r="BE103" s="266"/>
      <c r="BF103" s="266"/>
      <c r="BG103" s="266"/>
      <c r="BH103" s="266"/>
      <c r="BI103" s="266"/>
      <c r="BJ103" s="266"/>
      <c r="BK103" s="266"/>
      <c r="BL103" s="266"/>
      <c r="BM103" s="266"/>
      <c r="BN103" s="266"/>
      <c r="BO103" s="266"/>
      <c r="BP103" s="266"/>
      <c r="BQ103" s="266"/>
      <c r="BR103" s="266"/>
      <c r="BS103" s="266"/>
      <c r="BT103" s="266"/>
      <c r="BU103" s="266"/>
    </row>
    <row r="104" spans="41:73">
      <c r="AO104" s="266"/>
      <c r="AP104" s="266"/>
      <c r="AQ104" s="266"/>
      <c r="AR104" s="266"/>
      <c r="AS104" s="266"/>
      <c r="AT104" s="266"/>
      <c r="AU104" s="266"/>
      <c r="AV104" s="266"/>
      <c r="AW104" s="266"/>
      <c r="AX104" s="266"/>
      <c r="AY104" s="266"/>
      <c r="AZ104" s="266"/>
      <c r="BA104" s="266"/>
      <c r="BB104" s="266"/>
      <c r="BC104" s="266"/>
      <c r="BD104" s="266"/>
      <c r="BE104" s="266"/>
      <c r="BF104" s="266"/>
      <c r="BG104" s="266"/>
      <c r="BH104" s="266"/>
      <c r="BI104" s="266"/>
      <c r="BJ104" s="266"/>
      <c r="BK104" s="266"/>
      <c r="BL104" s="266"/>
      <c r="BM104" s="266"/>
      <c r="BN104" s="266"/>
      <c r="BO104" s="266"/>
      <c r="BP104" s="266"/>
      <c r="BQ104" s="266"/>
      <c r="BR104" s="266"/>
      <c r="BS104" s="266"/>
      <c r="BT104" s="266"/>
      <c r="BU104" s="266"/>
    </row>
    <row r="105" spans="41:73">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6"/>
      <c r="BR105" s="266"/>
      <c r="BS105" s="266"/>
      <c r="BT105" s="266"/>
      <c r="BU105" s="266"/>
    </row>
    <row r="106" spans="41:73">
      <c r="AO106" s="266"/>
      <c r="AP106" s="266"/>
      <c r="AQ106" s="266"/>
      <c r="AR106" s="266"/>
      <c r="AS106" s="266"/>
      <c r="AT106" s="266"/>
      <c r="AU106" s="266"/>
      <c r="AV106" s="266"/>
      <c r="AW106" s="266"/>
      <c r="AX106" s="266"/>
      <c r="AY106" s="266"/>
      <c r="AZ106" s="266"/>
      <c r="BA106" s="266"/>
      <c r="BB106" s="266"/>
      <c r="BC106" s="266"/>
      <c r="BD106" s="266"/>
      <c r="BE106" s="266"/>
      <c r="BF106" s="266"/>
      <c r="BG106" s="266"/>
      <c r="BH106" s="266"/>
      <c r="BI106" s="266"/>
      <c r="BJ106" s="266"/>
      <c r="BK106" s="266"/>
      <c r="BL106" s="266"/>
      <c r="BM106" s="266"/>
      <c r="BN106" s="266"/>
      <c r="BO106" s="266"/>
      <c r="BP106" s="266"/>
      <c r="BQ106" s="266"/>
      <c r="BR106" s="266"/>
      <c r="BS106" s="266"/>
      <c r="BT106" s="266"/>
      <c r="BU106" s="266"/>
    </row>
    <row r="107" spans="41:73">
      <c r="AO107" s="266"/>
      <c r="AP107" s="266"/>
      <c r="AQ107" s="266"/>
      <c r="AR107" s="266"/>
      <c r="AS107" s="266"/>
      <c r="AT107" s="266"/>
      <c r="AU107" s="266"/>
      <c r="AV107" s="266"/>
      <c r="AW107" s="266"/>
      <c r="AX107" s="266"/>
      <c r="AY107" s="266"/>
      <c r="AZ107" s="266"/>
      <c r="BA107" s="266"/>
      <c r="BB107" s="266"/>
      <c r="BC107" s="266"/>
      <c r="BD107" s="266"/>
      <c r="BE107" s="266"/>
      <c r="BF107" s="266"/>
      <c r="BG107" s="266"/>
      <c r="BH107" s="266"/>
      <c r="BI107" s="266"/>
      <c r="BJ107" s="266"/>
      <c r="BK107" s="266"/>
      <c r="BL107" s="266"/>
      <c r="BM107" s="266"/>
      <c r="BN107" s="266"/>
      <c r="BO107" s="266"/>
      <c r="BP107" s="266"/>
      <c r="BQ107" s="266"/>
      <c r="BR107" s="266"/>
      <c r="BS107" s="266"/>
      <c r="BT107" s="266"/>
      <c r="BU107" s="266"/>
    </row>
    <row r="108" spans="41:73">
      <c r="AO108" s="266"/>
      <c r="AP108" s="266"/>
      <c r="AQ108" s="266"/>
      <c r="AR108" s="266"/>
      <c r="AS108" s="266"/>
      <c r="AT108" s="266"/>
      <c r="AU108" s="266"/>
      <c r="AV108" s="266"/>
      <c r="AW108" s="266"/>
      <c r="AX108" s="266"/>
      <c r="AY108" s="266"/>
      <c r="AZ108" s="266"/>
      <c r="BA108" s="266"/>
      <c r="BB108" s="266"/>
      <c r="BC108" s="266"/>
      <c r="BD108" s="266"/>
      <c r="BE108" s="266"/>
      <c r="BF108" s="266"/>
      <c r="BG108" s="266"/>
      <c r="BH108" s="266"/>
      <c r="BI108" s="266"/>
      <c r="BJ108" s="266"/>
      <c r="BK108" s="266"/>
      <c r="BL108" s="266"/>
      <c r="BM108" s="266"/>
      <c r="BN108" s="266"/>
      <c r="BO108" s="266"/>
      <c r="BP108" s="266"/>
      <c r="BQ108" s="266"/>
      <c r="BR108" s="266"/>
      <c r="BS108" s="266"/>
      <c r="BT108" s="266"/>
      <c r="BU108" s="266"/>
    </row>
    <row r="109" spans="41:73">
      <c r="AO109" s="266"/>
      <c r="AP109" s="266"/>
      <c r="AQ109" s="266"/>
      <c r="AR109" s="266"/>
      <c r="AS109" s="266"/>
      <c r="AT109" s="266"/>
      <c r="AU109" s="266"/>
      <c r="AV109" s="266"/>
      <c r="AW109" s="266"/>
      <c r="AX109" s="266"/>
      <c r="AY109" s="266"/>
      <c r="AZ109" s="266"/>
      <c r="BA109" s="266"/>
      <c r="BB109" s="266"/>
      <c r="BC109" s="266"/>
      <c r="BD109" s="266"/>
      <c r="BE109" s="266"/>
      <c r="BF109" s="266"/>
      <c r="BG109" s="266"/>
      <c r="BH109" s="266"/>
      <c r="BI109" s="266"/>
      <c r="BJ109" s="266"/>
      <c r="BK109" s="266"/>
      <c r="BL109" s="266"/>
      <c r="BM109" s="266"/>
      <c r="BN109" s="266"/>
      <c r="BO109" s="266"/>
      <c r="BP109" s="266"/>
      <c r="BQ109" s="266"/>
      <c r="BR109" s="266"/>
      <c r="BS109" s="266"/>
      <c r="BT109" s="266"/>
      <c r="BU109" s="266"/>
    </row>
    <row r="110" spans="41:73">
      <c r="AO110" s="266"/>
      <c r="AP110" s="266"/>
      <c r="AQ110" s="266"/>
      <c r="AR110" s="266"/>
      <c r="AS110" s="266"/>
      <c r="AT110" s="266"/>
      <c r="AU110" s="266"/>
      <c r="AV110" s="266"/>
      <c r="AW110" s="266"/>
      <c r="AX110" s="266"/>
      <c r="AY110" s="266"/>
      <c r="AZ110" s="266"/>
      <c r="BA110" s="266"/>
      <c r="BB110" s="266"/>
      <c r="BC110" s="266"/>
      <c r="BD110" s="266"/>
      <c r="BE110" s="266"/>
      <c r="BF110" s="266"/>
      <c r="BG110" s="266"/>
      <c r="BH110" s="266"/>
      <c r="BI110" s="266"/>
      <c r="BJ110" s="266"/>
      <c r="BK110" s="266"/>
      <c r="BL110" s="266"/>
      <c r="BM110" s="266"/>
      <c r="BN110" s="266"/>
      <c r="BO110" s="266"/>
      <c r="BP110" s="266"/>
      <c r="BQ110" s="266"/>
      <c r="BR110" s="266"/>
      <c r="BS110" s="266"/>
      <c r="BT110" s="266"/>
      <c r="BU110" s="266"/>
    </row>
    <row r="111" spans="41:73">
      <c r="AO111" s="266"/>
      <c r="AP111" s="266"/>
      <c r="AQ111" s="266"/>
      <c r="AR111" s="266"/>
      <c r="AS111" s="266"/>
      <c r="AT111" s="266"/>
      <c r="AU111" s="266"/>
      <c r="AV111" s="266"/>
      <c r="AW111" s="266"/>
      <c r="AX111" s="266"/>
      <c r="AY111" s="266"/>
      <c r="AZ111" s="266"/>
      <c r="BA111" s="266"/>
      <c r="BB111" s="266"/>
      <c r="BC111" s="266"/>
      <c r="BD111" s="266"/>
      <c r="BE111" s="266"/>
      <c r="BF111" s="266"/>
      <c r="BG111" s="266"/>
      <c r="BH111" s="266"/>
      <c r="BI111" s="266"/>
      <c r="BJ111" s="266"/>
      <c r="BK111" s="266"/>
      <c r="BL111" s="266"/>
      <c r="BM111" s="266"/>
      <c r="BN111" s="266"/>
      <c r="BO111" s="266"/>
      <c r="BP111" s="266"/>
      <c r="BQ111" s="266"/>
      <c r="BR111" s="266"/>
      <c r="BS111" s="266"/>
      <c r="BT111" s="266"/>
      <c r="BU111" s="266"/>
    </row>
    <row r="112" spans="41:73">
      <c r="AO112" s="266"/>
      <c r="AP112" s="266"/>
      <c r="AQ112" s="266"/>
      <c r="AR112" s="266"/>
      <c r="AS112" s="266"/>
      <c r="AT112" s="266"/>
      <c r="AU112" s="266"/>
      <c r="AV112" s="266"/>
      <c r="AW112" s="266"/>
      <c r="AX112" s="266"/>
      <c r="AY112" s="266"/>
      <c r="AZ112" s="266"/>
      <c r="BA112" s="266"/>
      <c r="BB112" s="266"/>
      <c r="BC112" s="266"/>
      <c r="BD112" s="266"/>
      <c r="BE112" s="266"/>
      <c r="BF112" s="266"/>
      <c r="BG112" s="266"/>
      <c r="BH112" s="266"/>
      <c r="BI112" s="266"/>
      <c r="BJ112" s="266"/>
      <c r="BK112" s="266"/>
      <c r="BL112" s="266"/>
      <c r="BM112" s="266"/>
      <c r="BN112" s="266"/>
      <c r="BO112" s="266"/>
      <c r="BP112" s="266"/>
      <c r="BQ112" s="266"/>
      <c r="BR112" s="266"/>
      <c r="BS112" s="266"/>
      <c r="BT112" s="266"/>
      <c r="BU112" s="266"/>
    </row>
    <row r="113" spans="41:73">
      <c r="AO113" s="266"/>
      <c r="AP113" s="266"/>
      <c r="AQ113" s="266"/>
      <c r="AR113" s="266"/>
      <c r="AS113" s="266"/>
      <c r="AT113" s="266"/>
      <c r="AU113" s="266"/>
      <c r="AV113" s="266"/>
      <c r="AW113" s="266"/>
      <c r="AX113" s="266"/>
      <c r="AY113" s="266"/>
      <c r="AZ113" s="266"/>
      <c r="BA113" s="266"/>
      <c r="BB113" s="266"/>
      <c r="BC113" s="266"/>
      <c r="BD113" s="266"/>
      <c r="BE113" s="266"/>
      <c r="BF113" s="266"/>
      <c r="BG113" s="266"/>
      <c r="BH113" s="266"/>
      <c r="BI113" s="266"/>
      <c r="BJ113" s="266"/>
      <c r="BK113" s="266"/>
      <c r="BL113" s="266"/>
      <c r="BM113" s="266"/>
      <c r="BN113" s="266"/>
      <c r="BO113" s="266"/>
      <c r="BP113" s="266"/>
      <c r="BQ113" s="266"/>
      <c r="BR113" s="266"/>
      <c r="BS113" s="266"/>
      <c r="BT113" s="266"/>
      <c r="BU113" s="266"/>
    </row>
    <row r="114" spans="41:73">
      <c r="AO114" s="266"/>
      <c r="AP114" s="266"/>
      <c r="AQ114" s="266"/>
      <c r="AR114" s="266"/>
      <c r="AS114" s="266"/>
      <c r="AT114" s="266"/>
      <c r="AU114" s="266"/>
      <c r="AV114" s="266"/>
      <c r="AW114" s="266"/>
      <c r="AX114" s="266"/>
      <c r="AY114" s="266"/>
      <c r="AZ114" s="266"/>
      <c r="BA114" s="266"/>
      <c r="BB114" s="266"/>
      <c r="BC114" s="266"/>
      <c r="BD114" s="266"/>
      <c r="BE114" s="266"/>
      <c r="BF114" s="266"/>
      <c r="BG114" s="266"/>
      <c r="BH114" s="266"/>
      <c r="BI114" s="266"/>
      <c r="BJ114" s="266"/>
      <c r="BK114" s="266"/>
      <c r="BL114" s="266"/>
      <c r="BM114" s="266"/>
      <c r="BN114" s="266"/>
      <c r="BO114" s="266"/>
      <c r="BP114" s="266"/>
      <c r="BQ114" s="266"/>
      <c r="BR114" s="266"/>
      <c r="BS114" s="266"/>
      <c r="BT114" s="266"/>
      <c r="BU114" s="266"/>
    </row>
    <row r="115" spans="41:73">
      <c r="AO115" s="266"/>
      <c r="AP115" s="266"/>
      <c r="AQ115" s="266"/>
      <c r="AR115" s="266"/>
      <c r="AS115" s="266"/>
      <c r="AT115" s="266"/>
      <c r="AU115" s="266"/>
      <c r="AV115" s="266"/>
      <c r="AW115" s="266"/>
      <c r="AX115" s="266"/>
      <c r="AY115" s="266"/>
      <c r="AZ115" s="266"/>
      <c r="BA115" s="266"/>
      <c r="BB115" s="266"/>
      <c r="BC115" s="266"/>
      <c r="BD115" s="266"/>
      <c r="BE115" s="266"/>
      <c r="BF115" s="266"/>
      <c r="BG115" s="266"/>
      <c r="BH115" s="266"/>
      <c r="BI115" s="266"/>
      <c r="BJ115" s="266"/>
      <c r="BK115" s="266"/>
      <c r="BL115" s="266"/>
      <c r="BM115" s="266"/>
      <c r="BN115" s="266"/>
      <c r="BO115" s="266"/>
      <c r="BP115" s="266"/>
      <c r="BQ115" s="266"/>
      <c r="BR115" s="266"/>
      <c r="BS115" s="266"/>
      <c r="BT115" s="266"/>
      <c r="BU115" s="266"/>
    </row>
    <row r="116" spans="41:73">
      <c r="AO116" s="266"/>
      <c r="AP116" s="266"/>
      <c r="AQ116" s="266"/>
      <c r="AR116" s="266"/>
      <c r="AS116" s="266"/>
      <c r="AT116" s="266"/>
      <c r="AU116" s="266"/>
      <c r="AV116" s="266"/>
      <c r="AW116" s="266"/>
      <c r="AX116" s="266"/>
      <c r="AY116" s="266"/>
      <c r="AZ116" s="266"/>
      <c r="BA116" s="266"/>
      <c r="BB116" s="266"/>
      <c r="BC116" s="266"/>
      <c r="BD116" s="266"/>
      <c r="BE116" s="266"/>
      <c r="BF116" s="266"/>
      <c r="BG116" s="266"/>
      <c r="BH116" s="266"/>
      <c r="BI116" s="266"/>
      <c r="BJ116" s="266"/>
      <c r="BK116" s="266"/>
      <c r="BL116" s="266"/>
      <c r="BM116" s="266"/>
      <c r="BN116" s="266"/>
      <c r="BO116" s="266"/>
      <c r="BP116" s="266"/>
      <c r="BQ116" s="266"/>
      <c r="BR116" s="266"/>
      <c r="BS116" s="266"/>
      <c r="BT116" s="266"/>
      <c r="BU116" s="266"/>
    </row>
    <row r="117" spans="41:73">
      <c r="AO117" s="266"/>
      <c r="AP117" s="266"/>
      <c r="AQ117" s="266"/>
      <c r="AR117" s="266"/>
      <c r="AS117" s="266"/>
      <c r="AT117" s="266"/>
      <c r="AU117" s="266"/>
      <c r="AV117" s="266"/>
      <c r="AW117" s="266"/>
      <c r="AX117" s="266"/>
      <c r="AY117" s="266"/>
      <c r="AZ117" s="266"/>
      <c r="BA117" s="266"/>
      <c r="BB117" s="266"/>
      <c r="BC117" s="266"/>
      <c r="BD117" s="266"/>
      <c r="BE117" s="266"/>
      <c r="BF117" s="266"/>
      <c r="BG117" s="266"/>
      <c r="BH117" s="266"/>
      <c r="BI117" s="266"/>
      <c r="BJ117" s="266"/>
      <c r="BK117" s="266"/>
      <c r="BL117" s="266"/>
      <c r="BM117" s="266"/>
      <c r="BN117" s="266"/>
      <c r="BO117" s="266"/>
      <c r="BP117" s="266"/>
      <c r="BQ117" s="266"/>
      <c r="BR117" s="266"/>
      <c r="BS117" s="266"/>
      <c r="BT117" s="266"/>
      <c r="BU117" s="266"/>
    </row>
    <row r="118" spans="41:73">
      <c r="AO118" s="266"/>
      <c r="AP118" s="266"/>
      <c r="AQ118" s="266"/>
      <c r="AR118" s="266"/>
      <c r="AS118" s="266"/>
      <c r="AT118" s="266"/>
      <c r="AU118" s="266"/>
      <c r="AV118" s="266"/>
      <c r="AW118" s="266"/>
      <c r="AX118" s="266"/>
      <c r="AY118" s="266"/>
      <c r="AZ118" s="266"/>
      <c r="BA118" s="266"/>
      <c r="BB118" s="266"/>
      <c r="BC118" s="266"/>
      <c r="BD118" s="266"/>
      <c r="BE118" s="266"/>
      <c r="BF118" s="266"/>
      <c r="BG118" s="266"/>
      <c r="BH118" s="266"/>
      <c r="BI118" s="266"/>
      <c r="BJ118" s="266"/>
      <c r="BK118" s="266"/>
      <c r="BL118" s="266"/>
      <c r="BM118" s="266"/>
      <c r="BN118" s="266"/>
      <c r="BO118" s="266"/>
      <c r="BP118" s="266"/>
      <c r="BQ118" s="266"/>
      <c r="BR118" s="266"/>
      <c r="BS118" s="266"/>
      <c r="BT118" s="266"/>
      <c r="BU118" s="266"/>
    </row>
    <row r="119" spans="41:73">
      <c r="AO119" s="266"/>
      <c r="AP119" s="266"/>
      <c r="AQ119" s="266"/>
      <c r="AR119" s="266"/>
      <c r="AS119" s="266"/>
      <c r="AT119" s="266"/>
      <c r="AU119" s="266"/>
      <c r="AV119" s="266"/>
      <c r="AW119" s="266"/>
      <c r="AX119" s="266"/>
      <c r="AY119" s="266"/>
      <c r="AZ119" s="266"/>
      <c r="BA119" s="266"/>
      <c r="BB119" s="266"/>
      <c r="BC119" s="266"/>
      <c r="BD119" s="266"/>
      <c r="BE119" s="266"/>
      <c r="BF119" s="266"/>
      <c r="BG119" s="266"/>
      <c r="BH119" s="266"/>
      <c r="BI119" s="266"/>
      <c r="BJ119" s="266"/>
      <c r="BK119" s="266"/>
      <c r="BL119" s="266"/>
      <c r="BM119" s="266"/>
      <c r="BN119" s="266"/>
      <c r="BO119" s="266"/>
      <c r="BP119" s="266"/>
      <c r="BQ119" s="266"/>
      <c r="BR119" s="266"/>
      <c r="BS119" s="266"/>
      <c r="BT119" s="266"/>
      <c r="BU119" s="266"/>
    </row>
    <row r="120" spans="41:73">
      <c r="AO120" s="266"/>
      <c r="AP120" s="266"/>
      <c r="AQ120" s="266"/>
      <c r="AR120" s="266"/>
      <c r="AS120" s="266"/>
      <c r="AT120" s="266"/>
      <c r="AU120" s="266"/>
      <c r="AV120" s="266"/>
      <c r="AW120" s="266"/>
      <c r="AX120" s="266"/>
      <c r="AY120" s="266"/>
      <c r="AZ120" s="266"/>
      <c r="BA120" s="266"/>
      <c r="BB120" s="266"/>
      <c r="BC120" s="266"/>
      <c r="BD120" s="266"/>
      <c r="BE120" s="266"/>
      <c r="BF120" s="266"/>
      <c r="BG120" s="266"/>
      <c r="BH120" s="266"/>
      <c r="BI120" s="266"/>
      <c r="BJ120" s="266"/>
      <c r="BK120" s="266"/>
      <c r="BL120" s="266"/>
      <c r="BM120" s="266"/>
      <c r="BN120" s="266"/>
      <c r="BO120" s="266"/>
      <c r="BP120" s="266"/>
      <c r="BQ120" s="266"/>
      <c r="BR120" s="266"/>
      <c r="BS120" s="266"/>
      <c r="BT120" s="266"/>
      <c r="BU120" s="266"/>
    </row>
    <row r="121" spans="41:73">
      <c r="AO121" s="266"/>
      <c r="AP121" s="266"/>
      <c r="AQ121" s="266"/>
      <c r="AR121" s="266"/>
      <c r="AS121" s="266"/>
      <c r="AT121" s="266"/>
      <c r="AU121" s="266"/>
      <c r="AV121" s="266"/>
      <c r="AW121" s="266"/>
      <c r="AX121" s="266"/>
      <c r="AY121" s="266"/>
      <c r="AZ121" s="266"/>
      <c r="BA121" s="266"/>
      <c r="BB121" s="266"/>
      <c r="BC121" s="266"/>
      <c r="BD121" s="266"/>
      <c r="BE121" s="266"/>
      <c r="BF121" s="266"/>
      <c r="BG121" s="266"/>
      <c r="BH121" s="266"/>
      <c r="BI121" s="266"/>
      <c r="BJ121" s="266"/>
      <c r="BK121" s="266"/>
      <c r="BL121" s="266"/>
      <c r="BM121" s="266"/>
      <c r="BN121" s="266"/>
      <c r="BO121" s="266"/>
      <c r="BP121" s="266"/>
      <c r="BQ121" s="266"/>
      <c r="BR121" s="266"/>
      <c r="BS121" s="266"/>
      <c r="BT121" s="266"/>
      <c r="BU121" s="266"/>
    </row>
    <row r="122" spans="41:73">
      <c r="AO122" s="266"/>
      <c r="AP122" s="266"/>
      <c r="AQ122" s="266"/>
      <c r="AR122" s="266"/>
      <c r="AS122" s="266"/>
      <c r="AT122" s="266"/>
      <c r="AU122" s="266"/>
      <c r="AV122" s="266"/>
      <c r="AW122" s="266"/>
      <c r="AX122" s="266"/>
      <c r="AY122" s="266"/>
      <c r="AZ122" s="266"/>
      <c r="BA122" s="266"/>
      <c r="BB122" s="266"/>
      <c r="BC122" s="266"/>
      <c r="BD122" s="266"/>
      <c r="BE122" s="266"/>
      <c r="BF122" s="266"/>
      <c r="BG122" s="266"/>
      <c r="BH122" s="266"/>
      <c r="BI122" s="266"/>
      <c r="BJ122" s="266"/>
      <c r="BK122" s="266"/>
      <c r="BL122" s="266"/>
      <c r="BM122" s="266"/>
      <c r="BN122" s="266"/>
      <c r="BO122" s="266"/>
      <c r="BP122" s="266"/>
      <c r="BQ122" s="266"/>
      <c r="BR122" s="266"/>
      <c r="BS122" s="266"/>
      <c r="BT122" s="266"/>
      <c r="BU122" s="266"/>
    </row>
    <row r="123" spans="41:73">
      <c r="AO123" s="266"/>
      <c r="AP123" s="266"/>
      <c r="AQ123" s="266"/>
      <c r="AR123" s="266"/>
      <c r="AS123" s="266"/>
      <c r="AT123" s="266"/>
      <c r="AU123" s="266"/>
      <c r="AV123" s="266"/>
      <c r="AW123" s="266"/>
      <c r="AX123" s="266"/>
      <c r="AY123" s="266"/>
      <c r="AZ123" s="266"/>
      <c r="BA123" s="266"/>
      <c r="BB123" s="266"/>
      <c r="BC123" s="266"/>
      <c r="BD123" s="266"/>
      <c r="BE123" s="266"/>
      <c r="BF123" s="266"/>
      <c r="BG123" s="266"/>
      <c r="BH123" s="266"/>
      <c r="BI123" s="266"/>
      <c r="BJ123" s="266"/>
      <c r="BK123" s="266"/>
      <c r="BL123" s="266"/>
      <c r="BM123" s="266"/>
      <c r="BN123" s="266"/>
      <c r="BO123" s="266"/>
      <c r="BP123" s="266"/>
      <c r="BQ123" s="266"/>
      <c r="BR123" s="266"/>
      <c r="BS123" s="266"/>
      <c r="BT123" s="266"/>
      <c r="BU123" s="266"/>
    </row>
    <row r="124" spans="41:73">
      <c r="AO124" s="266"/>
      <c r="AP124" s="266"/>
      <c r="AQ124" s="266"/>
      <c r="AR124" s="266"/>
      <c r="AS124" s="266"/>
      <c r="AT124" s="266"/>
      <c r="AU124" s="266"/>
      <c r="AV124" s="266"/>
      <c r="AW124" s="266"/>
      <c r="AX124" s="266"/>
      <c r="AY124" s="266"/>
      <c r="AZ124" s="266"/>
      <c r="BA124" s="266"/>
      <c r="BB124" s="266"/>
      <c r="BC124" s="266"/>
      <c r="BD124" s="266"/>
      <c r="BE124" s="266"/>
      <c r="BF124" s="266"/>
      <c r="BG124" s="266"/>
      <c r="BH124" s="266"/>
      <c r="BI124" s="266"/>
      <c r="BJ124" s="266"/>
      <c r="BK124" s="266"/>
      <c r="BL124" s="266"/>
      <c r="BM124" s="266"/>
      <c r="BN124" s="266"/>
      <c r="BO124" s="266"/>
      <c r="BP124" s="266"/>
      <c r="BQ124" s="266"/>
      <c r="BR124" s="266"/>
      <c r="BS124" s="266"/>
      <c r="BT124" s="266"/>
      <c r="BU124" s="266"/>
    </row>
    <row r="125" spans="41:73">
      <c r="AO125" s="266"/>
      <c r="AP125" s="266"/>
      <c r="AQ125" s="266"/>
      <c r="AR125" s="266"/>
      <c r="AS125" s="266"/>
      <c r="AT125" s="266"/>
      <c r="AU125" s="266"/>
      <c r="AV125" s="266"/>
      <c r="AW125" s="266"/>
      <c r="AX125" s="266"/>
      <c r="AY125" s="266"/>
      <c r="AZ125" s="266"/>
      <c r="BA125" s="266"/>
      <c r="BB125" s="266"/>
      <c r="BC125" s="266"/>
      <c r="BD125" s="266"/>
      <c r="BE125" s="266"/>
      <c r="BF125" s="266"/>
      <c r="BG125" s="266"/>
      <c r="BH125" s="266"/>
      <c r="BI125" s="266"/>
      <c r="BJ125" s="266"/>
      <c r="BK125" s="266"/>
      <c r="BL125" s="266"/>
      <c r="BM125" s="266"/>
      <c r="BN125" s="266"/>
      <c r="BO125" s="266"/>
      <c r="BP125" s="266"/>
      <c r="BQ125" s="266"/>
      <c r="BR125" s="266"/>
      <c r="BS125" s="266"/>
      <c r="BT125" s="266"/>
      <c r="BU125" s="266"/>
    </row>
    <row r="126" spans="41:73">
      <c r="AO126" s="266"/>
      <c r="AP126" s="266"/>
      <c r="AQ126" s="266"/>
      <c r="AR126" s="266"/>
      <c r="AS126" s="266"/>
      <c r="AT126" s="266"/>
      <c r="AU126" s="266"/>
      <c r="AV126" s="266"/>
      <c r="AW126" s="266"/>
      <c r="AX126" s="266"/>
      <c r="AY126" s="266"/>
      <c r="AZ126" s="266"/>
      <c r="BA126" s="266"/>
      <c r="BB126" s="266"/>
      <c r="BC126" s="266"/>
      <c r="BD126" s="266"/>
      <c r="BE126" s="266"/>
      <c r="BF126" s="266"/>
      <c r="BG126" s="266"/>
      <c r="BH126" s="266"/>
      <c r="BI126" s="266"/>
      <c r="BJ126" s="266"/>
      <c r="BK126" s="266"/>
      <c r="BL126" s="266"/>
      <c r="BM126" s="266"/>
      <c r="BN126" s="266"/>
      <c r="BO126" s="266"/>
      <c r="BP126" s="266"/>
      <c r="BQ126" s="266"/>
      <c r="BR126" s="266"/>
      <c r="BS126" s="266"/>
      <c r="BT126" s="266"/>
      <c r="BU126" s="266"/>
    </row>
    <row r="127" spans="41:73">
      <c r="AO127" s="266"/>
      <c r="AP127" s="266"/>
      <c r="AQ127" s="266"/>
      <c r="AR127" s="266"/>
      <c r="AS127" s="266"/>
      <c r="AT127" s="266"/>
      <c r="AU127" s="266"/>
      <c r="AV127" s="266"/>
      <c r="AW127" s="266"/>
      <c r="AX127" s="266"/>
      <c r="AY127" s="266"/>
      <c r="AZ127" s="266"/>
      <c r="BA127" s="266"/>
      <c r="BB127" s="266"/>
      <c r="BC127" s="266"/>
      <c r="BD127" s="266"/>
      <c r="BE127" s="266"/>
      <c r="BF127" s="266"/>
      <c r="BG127" s="266"/>
      <c r="BH127" s="266"/>
      <c r="BI127" s="266"/>
      <c r="BJ127" s="266"/>
      <c r="BK127" s="266"/>
      <c r="BL127" s="266"/>
      <c r="BM127" s="266"/>
      <c r="BN127" s="266"/>
      <c r="BO127" s="266"/>
      <c r="BP127" s="266"/>
      <c r="BQ127" s="266"/>
      <c r="BR127" s="266"/>
      <c r="BS127" s="266"/>
      <c r="BT127" s="266"/>
      <c r="BU127" s="266"/>
    </row>
    <row r="128" spans="41:73">
      <c r="AO128" s="266"/>
      <c r="AP128" s="266"/>
      <c r="AQ128" s="266"/>
      <c r="AR128" s="266"/>
      <c r="AS128" s="266"/>
      <c r="AT128" s="266"/>
      <c r="AU128" s="266"/>
      <c r="AV128" s="266"/>
      <c r="AW128" s="266"/>
      <c r="AX128" s="266"/>
      <c r="AY128" s="266"/>
      <c r="AZ128" s="266"/>
      <c r="BA128" s="266"/>
      <c r="BB128" s="266"/>
      <c r="BC128" s="266"/>
      <c r="BD128" s="266"/>
      <c r="BE128" s="266"/>
      <c r="BF128" s="266"/>
      <c r="BG128" s="266"/>
      <c r="BH128" s="266"/>
      <c r="BI128" s="266"/>
      <c r="BJ128" s="266"/>
      <c r="BK128" s="266"/>
      <c r="BL128" s="266"/>
      <c r="BM128" s="266"/>
      <c r="BN128" s="266"/>
      <c r="BO128" s="266"/>
      <c r="BP128" s="266"/>
      <c r="BQ128" s="266"/>
      <c r="BR128" s="266"/>
      <c r="BS128" s="266"/>
      <c r="BT128" s="266"/>
      <c r="BU128" s="266"/>
    </row>
    <row r="129" spans="41:73">
      <c r="AO129" s="266"/>
      <c r="AP129" s="266"/>
      <c r="AQ129" s="266"/>
      <c r="AR129" s="266"/>
      <c r="AS129" s="266"/>
      <c r="AT129" s="266"/>
      <c r="AU129" s="266"/>
      <c r="AV129" s="266"/>
      <c r="AW129" s="266"/>
      <c r="AX129" s="266"/>
      <c r="AY129" s="266"/>
      <c r="AZ129" s="266"/>
      <c r="BA129" s="266"/>
      <c r="BB129" s="266"/>
      <c r="BC129" s="266"/>
      <c r="BD129" s="266"/>
      <c r="BE129" s="266"/>
      <c r="BF129" s="266"/>
      <c r="BG129" s="266"/>
      <c r="BH129" s="266"/>
      <c r="BI129" s="266"/>
      <c r="BJ129" s="266"/>
      <c r="BK129" s="266"/>
      <c r="BL129" s="266"/>
      <c r="BM129" s="266"/>
      <c r="BN129" s="266"/>
      <c r="BO129" s="266"/>
      <c r="BP129" s="266"/>
      <c r="BQ129" s="266"/>
      <c r="BR129" s="266"/>
      <c r="BS129" s="266"/>
      <c r="BT129" s="266"/>
      <c r="BU129" s="266"/>
    </row>
    <row r="130" spans="41:73">
      <c r="AO130" s="266"/>
      <c r="AP130" s="266"/>
      <c r="AQ130" s="266"/>
      <c r="AR130" s="266"/>
      <c r="AS130" s="266"/>
      <c r="AT130" s="266"/>
      <c r="AU130" s="266"/>
      <c r="AV130" s="266"/>
      <c r="AW130" s="266"/>
      <c r="AX130" s="266"/>
      <c r="AY130" s="266"/>
      <c r="AZ130" s="266"/>
      <c r="BA130" s="266"/>
      <c r="BB130" s="266"/>
      <c r="BC130" s="266"/>
      <c r="BD130" s="266"/>
      <c r="BE130" s="266"/>
      <c r="BF130" s="266"/>
      <c r="BG130" s="266"/>
      <c r="BH130" s="266"/>
      <c r="BI130" s="266"/>
      <c r="BJ130" s="266"/>
      <c r="BK130" s="266"/>
      <c r="BL130" s="266"/>
      <c r="BM130" s="266"/>
      <c r="BN130" s="266"/>
      <c r="BO130" s="266"/>
      <c r="BP130" s="266"/>
      <c r="BQ130" s="266"/>
      <c r="BR130" s="266"/>
      <c r="BS130" s="266"/>
      <c r="BT130" s="266"/>
      <c r="BU130" s="266"/>
    </row>
    <row r="131" spans="41:73">
      <c r="AO131" s="266"/>
      <c r="AP131" s="266"/>
      <c r="AQ131" s="266"/>
      <c r="AR131" s="266"/>
      <c r="AS131" s="266"/>
      <c r="AT131" s="266"/>
      <c r="AU131" s="266"/>
      <c r="AV131" s="266"/>
      <c r="AW131" s="266"/>
      <c r="AX131" s="266"/>
      <c r="AY131" s="266"/>
      <c r="AZ131" s="266"/>
      <c r="BA131" s="266"/>
      <c r="BB131" s="266"/>
      <c r="BC131" s="266"/>
      <c r="BD131" s="266"/>
      <c r="BE131" s="266"/>
      <c r="BF131" s="266"/>
      <c r="BG131" s="266"/>
      <c r="BH131" s="266"/>
      <c r="BI131" s="266"/>
      <c r="BJ131" s="266"/>
      <c r="BK131" s="266"/>
      <c r="BL131" s="266"/>
      <c r="BM131" s="266"/>
      <c r="BN131" s="266"/>
      <c r="BO131" s="266"/>
      <c r="BP131" s="266"/>
      <c r="BQ131" s="266"/>
      <c r="BR131" s="266"/>
      <c r="BS131" s="266"/>
      <c r="BT131" s="266"/>
      <c r="BU131" s="266"/>
    </row>
    <row r="132" spans="41:73">
      <c r="AO132" s="266"/>
      <c r="AP132" s="266"/>
      <c r="AQ132" s="266"/>
      <c r="AR132" s="266"/>
      <c r="AS132" s="266"/>
      <c r="AT132" s="266"/>
      <c r="AU132" s="266"/>
      <c r="AV132" s="266"/>
      <c r="AW132" s="266"/>
      <c r="AX132" s="266"/>
      <c r="AY132" s="266"/>
      <c r="AZ132" s="266"/>
      <c r="BA132" s="266"/>
      <c r="BB132" s="266"/>
      <c r="BC132" s="266"/>
      <c r="BD132" s="266"/>
      <c r="BE132" s="266"/>
      <c r="BF132" s="266"/>
      <c r="BG132" s="266"/>
      <c r="BH132" s="266"/>
      <c r="BI132" s="266"/>
      <c r="BJ132" s="266"/>
      <c r="BK132" s="266"/>
      <c r="BL132" s="266"/>
      <c r="BM132" s="266"/>
      <c r="BN132" s="266"/>
      <c r="BO132" s="266"/>
      <c r="BP132" s="266"/>
      <c r="BQ132" s="266"/>
      <c r="BR132" s="266"/>
      <c r="BS132" s="266"/>
      <c r="BT132" s="266"/>
      <c r="BU132" s="266"/>
    </row>
    <row r="133" spans="41:73">
      <c r="AO133" s="266"/>
      <c r="AP133" s="266"/>
      <c r="AQ133" s="266"/>
      <c r="AR133" s="266"/>
      <c r="AS133" s="266"/>
      <c r="AT133" s="266"/>
      <c r="AU133" s="266"/>
      <c r="AV133" s="266"/>
      <c r="AW133" s="266"/>
      <c r="AX133" s="266"/>
      <c r="AY133" s="266"/>
      <c r="AZ133" s="266"/>
      <c r="BA133" s="266"/>
      <c r="BB133" s="266"/>
      <c r="BC133" s="266"/>
      <c r="BD133" s="266"/>
      <c r="BE133" s="266"/>
      <c r="BF133" s="266"/>
      <c r="BG133" s="266"/>
      <c r="BH133" s="266"/>
      <c r="BI133" s="266"/>
      <c r="BJ133" s="266"/>
      <c r="BK133" s="266"/>
      <c r="BL133" s="266"/>
      <c r="BM133" s="266"/>
      <c r="BN133" s="266"/>
      <c r="BO133" s="266"/>
      <c r="BP133" s="266"/>
      <c r="BQ133" s="266"/>
      <c r="BR133" s="266"/>
      <c r="BS133" s="266"/>
      <c r="BT133" s="266"/>
      <c r="BU133" s="266"/>
    </row>
    <row r="134" spans="41:73">
      <c r="AO134" s="266"/>
      <c r="AP134" s="266"/>
      <c r="AQ134" s="266"/>
      <c r="AR134" s="266"/>
      <c r="AS134" s="266"/>
      <c r="AT134" s="266"/>
      <c r="AU134" s="266"/>
      <c r="AV134" s="266"/>
      <c r="AW134" s="266"/>
      <c r="AX134" s="266"/>
      <c r="AY134" s="266"/>
      <c r="AZ134" s="266"/>
      <c r="BA134" s="266"/>
      <c r="BB134" s="266"/>
      <c r="BC134" s="266"/>
      <c r="BD134" s="266"/>
      <c r="BE134" s="266"/>
      <c r="BF134" s="266"/>
      <c r="BG134" s="266"/>
      <c r="BH134" s="266"/>
      <c r="BI134" s="266"/>
      <c r="BJ134" s="266"/>
      <c r="BK134" s="266"/>
      <c r="BL134" s="266"/>
      <c r="BM134" s="266"/>
      <c r="BN134" s="266"/>
      <c r="BO134" s="266"/>
      <c r="BP134" s="266"/>
      <c r="BQ134" s="266"/>
      <c r="BR134" s="266"/>
      <c r="BS134" s="266"/>
      <c r="BT134" s="266"/>
      <c r="BU134" s="266"/>
    </row>
    <row r="135" spans="41:73">
      <c r="AO135" s="266"/>
      <c r="AP135" s="266"/>
      <c r="AQ135" s="266"/>
      <c r="AR135" s="266"/>
      <c r="AS135" s="266"/>
      <c r="AT135" s="266"/>
      <c r="AU135" s="266"/>
      <c r="AV135" s="266"/>
      <c r="AW135" s="266"/>
      <c r="AX135" s="266"/>
      <c r="AY135" s="266"/>
      <c r="AZ135" s="266"/>
      <c r="BA135" s="266"/>
      <c r="BB135" s="266"/>
      <c r="BC135" s="266"/>
      <c r="BD135" s="266"/>
      <c r="BE135" s="266"/>
      <c r="BF135" s="266"/>
      <c r="BG135" s="266"/>
      <c r="BH135" s="266"/>
      <c r="BI135" s="266"/>
      <c r="BJ135" s="266"/>
      <c r="BK135" s="266"/>
      <c r="BL135" s="266"/>
      <c r="BM135" s="266"/>
      <c r="BN135" s="266"/>
      <c r="BO135" s="266"/>
      <c r="BP135" s="266"/>
      <c r="BQ135" s="266"/>
      <c r="BR135" s="266"/>
      <c r="BS135" s="266"/>
      <c r="BT135" s="266"/>
      <c r="BU135" s="266"/>
    </row>
    <row r="136" spans="41:73">
      <c r="AO136" s="266"/>
      <c r="AP136" s="266"/>
      <c r="AQ136" s="266"/>
      <c r="AR136" s="266"/>
      <c r="AS136" s="266"/>
      <c r="AT136" s="266"/>
      <c r="AU136" s="266"/>
      <c r="AV136" s="266"/>
      <c r="AW136" s="266"/>
      <c r="AX136" s="266"/>
      <c r="AY136" s="266"/>
      <c r="AZ136" s="266"/>
      <c r="BA136" s="266"/>
      <c r="BB136" s="266"/>
      <c r="BC136" s="266"/>
      <c r="BD136" s="266"/>
      <c r="BE136" s="266"/>
      <c r="BF136" s="266"/>
      <c r="BG136" s="266"/>
      <c r="BH136" s="266"/>
      <c r="BI136" s="266"/>
      <c r="BJ136" s="266"/>
      <c r="BK136" s="266"/>
      <c r="BL136" s="266"/>
      <c r="BM136" s="266"/>
      <c r="BN136" s="266"/>
      <c r="BO136" s="266"/>
      <c r="BP136" s="266"/>
      <c r="BQ136" s="266"/>
      <c r="BR136" s="266"/>
      <c r="BS136" s="266"/>
      <c r="BT136" s="266"/>
      <c r="BU136" s="266"/>
    </row>
    <row r="137" spans="41:73">
      <c r="AO137" s="266"/>
      <c r="AP137" s="266"/>
      <c r="AQ137" s="266"/>
      <c r="AR137" s="266"/>
      <c r="AS137" s="266"/>
      <c r="AT137" s="266"/>
      <c r="AU137" s="266"/>
      <c r="AV137" s="266"/>
      <c r="AW137" s="266"/>
      <c r="AX137" s="266"/>
      <c r="AY137" s="266"/>
      <c r="AZ137" s="266"/>
      <c r="BA137" s="266"/>
      <c r="BB137" s="266"/>
      <c r="BC137" s="266"/>
      <c r="BD137" s="266"/>
      <c r="BE137" s="266"/>
      <c r="BF137" s="266"/>
      <c r="BG137" s="266"/>
      <c r="BH137" s="266"/>
      <c r="BI137" s="266"/>
      <c r="BJ137" s="266"/>
      <c r="BK137" s="266"/>
      <c r="BL137" s="266"/>
      <c r="BM137" s="266"/>
      <c r="BN137" s="266"/>
      <c r="BO137" s="266"/>
      <c r="BP137" s="266"/>
      <c r="BQ137" s="266"/>
      <c r="BR137" s="266"/>
      <c r="BS137" s="266"/>
      <c r="BT137" s="266"/>
      <c r="BU137" s="266"/>
    </row>
    <row r="138" spans="41:73">
      <c r="AO138" s="266"/>
      <c r="AP138" s="266"/>
      <c r="AQ138" s="266"/>
      <c r="AR138" s="266"/>
      <c r="AS138" s="266"/>
      <c r="AT138" s="266"/>
      <c r="AU138" s="266"/>
      <c r="AV138" s="266"/>
      <c r="AW138" s="266"/>
      <c r="AX138" s="266"/>
      <c r="AY138" s="266"/>
      <c r="AZ138" s="266"/>
      <c r="BA138" s="266"/>
      <c r="BB138" s="266"/>
      <c r="BC138" s="266"/>
      <c r="BD138" s="266"/>
      <c r="BE138" s="266"/>
      <c r="BF138" s="266"/>
      <c r="BG138" s="266"/>
      <c r="BH138" s="266"/>
      <c r="BI138" s="266"/>
      <c r="BJ138" s="266"/>
      <c r="BK138" s="266"/>
      <c r="BL138" s="266"/>
      <c r="BM138" s="266"/>
      <c r="BN138" s="266"/>
      <c r="BO138" s="266"/>
      <c r="BP138" s="266"/>
      <c r="BQ138" s="266"/>
      <c r="BR138" s="266"/>
      <c r="BS138" s="266"/>
      <c r="BT138" s="266"/>
      <c r="BU138" s="266"/>
    </row>
    <row r="139" spans="41:73">
      <c r="AO139" s="266"/>
      <c r="AP139" s="266"/>
      <c r="AQ139" s="266"/>
      <c r="AR139" s="266"/>
      <c r="AS139" s="266"/>
      <c r="AT139" s="266"/>
      <c r="AU139" s="266"/>
      <c r="AV139" s="266"/>
      <c r="AW139" s="266"/>
      <c r="AX139" s="266"/>
      <c r="AY139" s="266"/>
      <c r="AZ139" s="266"/>
      <c r="BA139" s="266"/>
      <c r="BB139" s="266"/>
      <c r="BC139" s="266"/>
      <c r="BD139" s="266"/>
      <c r="BE139" s="266"/>
      <c r="BF139" s="266"/>
      <c r="BG139" s="266"/>
      <c r="BH139" s="266"/>
      <c r="BI139" s="266"/>
      <c r="BJ139" s="266"/>
      <c r="BK139" s="266"/>
      <c r="BL139" s="266"/>
      <c r="BM139" s="266"/>
      <c r="BN139" s="266"/>
      <c r="BO139" s="266"/>
      <c r="BP139" s="266"/>
      <c r="BQ139" s="266"/>
      <c r="BR139" s="266"/>
      <c r="BS139" s="266"/>
      <c r="BT139" s="266"/>
      <c r="BU139" s="266"/>
    </row>
    <row r="140" spans="41:73">
      <c r="AO140" s="266"/>
      <c r="AP140" s="266"/>
      <c r="AQ140" s="266"/>
      <c r="AR140" s="266"/>
      <c r="AS140" s="266"/>
      <c r="AT140" s="266"/>
      <c r="AU140" s="266"/>
      <c r="AV140" s="266"/>
      <c r="AW140" s="266"/>
      <c r="AX140" s="266"/>
      <c r="AY140" s="266"/>
      <c r="AZ140" s="266"/>
      <c r="BA140" s="266"/>
      <c r="BB140" s="266"/>
      <c r="BC140" s="266"/>
      <c r="BD140" s="266"/>
      <c r="BE140" s="266"/>
      <c r="BF140" s="266"/>
      <c r="BG140" s="266"/>
      <c r="BH140" s="266"/>
      <c r="BI140" s="266"/>
      <c r="BJ140" s="266"/>
      <c r="BK140" s="266"/>
      <c r="BL140" s="266"/>
      <c r="BM140" s="266"/>
      <c r="BN140" s="266"/>
      <c r="BO140" s="266"/>
      <c r="BP140" s="266"/>
      <c r="BQ140" s="266"/>
      <c r="BR140" s="266"/>
      <c r="BS140" s="266"/>
      <c r="BT140" s="266"/>
      <c r="BU140" s="266"/>
    </row>
    <row r="141" spans="41:73">
      <c r="AO141" s="266"/>
      <c r="AP141" s="266"/>
      <c r="AQ141" s="266"/>
      <c r="AR141" s="266"/>
      <c r="AS141" s="266"/>
      <c r="AT141" s="266"/>
      <c r="AU141" s="266"/>
      <c r="AV141" s="266"/>
      <c r="AW141" s="266"/>
      <c r="AX141" s="266"/>
      <c r="AY141" s="266"/>
      <c r="AZ141" s="266"/>
      <c r="BA141" s="266"/>
      <c r="BB141" s="266"/>
      <c r="BC141" s="266"/>
      <c r="BD141" s="266"/>
      <c r="BE141" s="266"/>
      <c r="BF141" s="266"/>
      <c r="BG141" s="266"/>
      <c r="BH141" s="266"/>
      <c r="BI141" s="266"/>
      <c r="BJ141" s="266"/>
      <c r="BK141" s="266"/>
      <c r="BL141" s="266"/>
      <c r="BM141" s="266"/>
      <c r="BN141" s="266"/>
      <c r="BO141" s="266"/>
      <c r="BP141" s="266"/>
      <c r="BQ141" s="266"/>
      <c r="BR141" s="266"/>
      <c r="BS141" s="266"/>
      <c r="BT141" s="266"/>
      <c r="BU141" s="266"/>
    </row>
    <row r="142" spans="41:73">
      <c r="AO142" s="266"/>
      <c r="AP142" s="266"/>
      <c r="AQ142" s="266"/>
      <c r="AR142" s="266"/>
      <c r="AS142" s="266"/>
      <c r="AT142" s="266"/>
      <c r="AU142" s="266"/>
      <c r="AV142" s="266"/>
      <c r="AW142" s="266"/>
      <c r="AX142" s="266"/>
      <c r="AY142" s="266"/>
      <c r="AZ142" s="266"/>
      <c r="BA142" s="266"/>
      <c r="BB142" s="266"/>
      <c r="BC142" s="266"/>
      <c r="BD142" s="266"/>
      <c r="BE142" s="266"/>
      <c r="BF142" s="266"/>
      <c r="BG142" s="266"/>
      <c r="BH142" s="266"/>
      <c r="BI142" s="266"/>
      <c r="BJ142" s="266"/>
      <c r="BK142" s="266"/>
      <c r="BL142" s="266"/>
      <c r="BM142" s="266"/>
      <c r="BN142" s="266"/>
      <c r="BO142" s="266"/>
      <c r="BP142" s="266"/>
      <c r="BQ142" s="266"/>
      <c r="BR142" s="266"/>
      <c r="BS142" s="266"/>
      <c r="BT142" s="266"/>
      <c r="BU142" s="266"/>
    </row>
    <row r="143" spans="41:73">
      <c r="AO143" s="266"/>
      <c r="AP143" s="266"/>
      <c r="AQ143" s="266"/>
      <c r="AR143" s="266"/>
      <c r="AS143" s="266"/>
      <c r="AT143" s="266"/>
      <c r="AU143" s="266"/>
      <c r="AV143" s="266"/>
      <c r="AW143" s="266"/>
      <c r="AX143" s="266"/>
      <c r="AY143" s="266"/>
      <c r="AZ143" s="266"/>
      <c r="BA143" s="266"/>
      <c r="BB143" s="266"/>
      <c r="BC143" s="266"/>
      <c r="BD143" s="266"/>
      <c r="BE143" s="266"/>
      <c r="BF143" s="266"/>
      <c r="BG143" s="266"/>
      <c r="BH143" s="266"/>
      <c r="BI143" s="266"/>
      <c r="BJ143" s="266"/>
      <c r="BK143" s="266"/>
      <c r="BL143" s="266"/>
      <c r="BM143" s="266"/>
      <c r="BN143" s="266"/>
      <c r="BO143" s="266"/>
      <c r="BP143" s="266"/>
      <c r="BQ143" s="266"/>
      <c r="BR143" s="266"/>
      <c r="BS143" s="266"/>
      <c r="BT143" s="266"/>
      <c r="BU143" s="266"/>
    </row>
    <row r="144" spans="41:73">
      <c r="AO144" s="266"/>
      <c r="AP144" s="266"/>
      <c r="AQ144" s="266"/>
      <c r="AR144" s="266"/>
      <c r="AS144" s="266"/>
      <c r="AT144" s="266"/>
      <c r="AU144" s="266"/>
      <c r="AV144" s="266"/>
      <c r="AW144" s="266"/>
      <c r="AX144" s="266"/>
      <c r="AY144" s="266"/>
      <c r="AZ144" s="266"/>
      <c r="BA144" s="266"/>
      <c r="BB144" s="266"/>
      <c r="BC144" s="266"/>
      <c r="BD144" s="266"/>
      <c r="BE144" s="266"/>
      <c r="BF144" s="266"/>
      <c r="BG144" s="266"/>
      <c r="BH144" s="266"/>
      <c r="BI144" s="266"/>
      <c r="BJ144" s="266"/>
      <c r="BK144" s="266"/>
      <c r="BL144" s="266"/>
      <c r="BM144" s="266"/>
      <c r="BN144" s="266"/>
      <c r="BO144" s="266"/>
      <c r="BP144" s="266"/>
      <c r="BQ144" s="266"/>
      <c r="BR144" s="266"/>
      <c r="BS144" s="266"/>
      <c r="BT144" s="266"/>
      <c r="BU144" s="266"/>
    </row>
    <row r="145" spans="41:73">
      <c r="AO145" s="266"/>
      <c r="AP145" s="266"/>
      <c r="AQ145" s="266"/>
      <c r="AR145" s="266"/>
      <c r="AS145" s="266"/>
      <c r="AT145" s="266"/>
      <c r="AU145" s="266"/>
      <c r="AV145" s="266"/>
      <c r="AW145" s="266"/>
      <c r="AX145" s="266"/>
      <c r="AY145" s="266"/>
      <c r="AZ145" s="266"/>
      <c r="BA145" s="266"/>
      <c r="BB145" s="266"/>
      <c r="BC145" s="266"/>
      <c r="BD145" s="266"/>
      <c r="BE145" s="266"/>
      <c r="BF145" s="266"/>
      <c r="BG145" s="266"/>
      <c r="BH145" s="266"/>
      <c r="BI145" s="266"/>
      <c r="BJ145" s="266"/>
      <c r="BK145" s="266"/>
      <c r="BL145" s="266"/>
      <c r="BM145" s="266"/>
      <c r="BN145" s="266"/>
      <c r="BO145" s="266"/>
      <c r="BP145" s="266"/>
      <c r="BQ145" s="266"/>
      <c r="BR145" s="266"/>
      <c r="BS145" s="266"/>
      <c r="BT145" s="266"/>
      <c r="BU145" s="266"/>
    </row>
    <row r="146" spans="41:73">
      <c r="AO146" s="266"/>
      <c r="AP146" s="266"/>
      <c r="AQ146" s="266"/>
      <c r="AR146" s="266"/>
      <c r="AS146" s="266"/>
      <c r="AT146" s="266"/>
      <c r="AU146" s="266"/>
      <c r="AV146" s="266"/>
      <c r="AW146" s="266"/>
      <c r="AX146" s="266"/>
      <c r="AY146" s="266"/>
      <c r="AZ146" s="266"/>
      <c r="BA146" s="266"/>
      <c r="BB146" s="266"/>
      <c r="BC146" s="266"/>
      <c r="BD146" s="266"/>
      <c r="BE146" s="266"/>
      <c r="BF146" s="266"/>
      <c r="BG146" s="266"/>
      <c r="BH146" s="266"/>
      <c r="BI146" s="266"/>
      <c r="BJ146" s="266"/>
      <c r="BK146" s="266"/>
      <c r="BL146" s="266"/>
      <c r="BM146" s="266"/>
      <c r="BN146" s="266"/>
      <c r="BO146" s="266"/>
      <c r="BP146" s="266"/>
      <c r="BQ146" s="266"/>
      <c r="BR146" s="266"/>
      <c r="BS146" s="266"/>
      <c r="BT146" s="266"/>
      <c r="BU146" s="266"/>
    </row>
    <row r="147" spans="41:73">
      <c r="AO147" s="266"/>
      <c r="AP147" s="266"/>
      <c r="AQ147" s="266"/>
      <c r="AR147" s="266"/>
      <c r="AS147" s="266"/>
      <c r="AT147" s="266"/>
      <c r="AU147" s="266"/>
      <c r="AV147" s="266"/>
      <c r="AW147" s="266"/>
      <c r="AX147" s="266"/>
      <c r="AY147" s="266"/>
      <c r="AZ147" s="266"/>
      <c r="BA147" s="266"/>
      <c r="BB147" s="266"/>
      <c r="BC147" s="266"/>
      <c r="BD147" s="266"/>
      <c r="BE147" s="266"/>
      <c r="BF147" s="266"/>
      <c r="BG147" s="266"/>
      <c r="BH147" s="266"/>
      <c r="BI147" s="266"/>
      <c r="BJ147" s="266"/>
      <c r="BK147" s="266"/>
      <c r="BL147" s="266"/>
      <c r="BM147" s="266"/>
      <c r="BN147" s="266"/>
      <c r="BO147" s="266"/>
      <c r="BP147" s="266"/>
      <c r="BQ147" s="266"/>
      <c r="BR147" s="266"/>
      <c r="BS147" s="266"/>
      <c r="BT147" s="266"/>
      <c r="BU147" s="266"/>
    </row>
    <row r="148" spans="41:73">
      <c r="AO148" s="266"/>
      <c r="AP148" s="266"/>
      <c r="AQ148" s="266"/>
      <c r="AR148" s="266"/>
      <c r="AS148" s="266"/>
      <c r="AT148" s="266"/>
      <c r="AU148" s="266"/>
      <c r="AV148" s="266"/>
      <c r="AW148" s="266"/>
      <c r="AX148" s="266"/>
      <c r="AY148" s="266"/>
      <c r="AZ148" s="266"/>
      <c r="BA148" s="266"/>
      <c r="BB148" s="266"/>
      <c r="BC148" s="266"/>
      <c r="BD148" s="266"/>
      <c r="BE148" s="266"/>
      <c r="BF148" s="266"/>
      <c r="BG148" s="266"/>
      <c r="BH148" s="266"/>
      <c r="BI148" s="266"/>
      <c r="BJ148" s="266"/>
      <c r="BK148" s="266"/>
      <c r="BL148" s="266"/>
      <c r="BM148" s="266"/>
      <c r="BN148" s="266"/>
      <c r="BO148" s="266"/>
      <c r="BP148" s="266"/>
      <c r="BQ148" s="266"/>
      <c r="BR148" s="266"/>
      <c r="BS148" s="266"/>
      <c r="BT148" s="266"/>
      <c r="BU148" s="266"/>
    </row>
    <row r="149" spans="41:73">
      <c r="AO149" s="266"/>
      <c r="AP149" s="266"/>
      <c r="AQ149" s="266"/>
      <c r="AR149" s="266"/>
      <c r="AS149" s="266"/>
      <c r="AT149" s="266"/>
      <c r="AU149" s="266"/>
      <c r="AV149" s="266"/>
      <c r="AW149" s="266"/>
      <c r="AX149" s="266"/>
      <c r="AY149" s="266"/>
      <c r="AZ149" s="266"/>
      <c r="BA149" s="266"/>
      <c r="BB149" s="266"/>
      <c r="BC149" s="266"/>
      <c r="BD149" s="266"/>
      <c r="BE149" s="266"/>
      <c r="BF149" s="266"/>
      <c r="BG149" s="266"/>
      <c r="BH149" s="266"/>
      <c r="BI149" s="266"/>
      <c r="BJ149" s="266"/>
      <c r="BK149" s="266"/>
      <c r="BL149" s="266"/>
      <c r="BM149" s="266"/>
      <c r="BN149" s="266"/>
      <c r="BO149" s="266"/>
      <c r="BP149" s="266"/>
      <c r="BQ149" s="266"/>
      <c r="BR149" s="266"/>
      <c r="BS149" s="266"/>
      <c r="BT149" s="266"/>
      <c r="BU149" s="266"/>
    </row>
    <row r="150" spans="41:73">
      <c r="AO150" s="266"/>
      <c r="AP150" s="266"/>
      <c r="AQ150" s="266"/>
      <c r="AR150" s="266"/>
      <c r="AS150" s="266"/>
      <c r="AT150" s="266"/>
      <c r="AU150" s="266"/>
      <c r="AV150" s="266"/>
      <c r="AW150" s="266"/>
      <c r="AX150" s="266"/>
      <c r="AY150" s="266"/>
      <c r="AZ150" s="266"/>
      <c r="BA150" s="266"/>
      <c r="BB150" s="266"/>
      <c r="BC150" s="266"/>
      <c r="BD150" s="266"/>
      <c r="BE150" s="266"/>
      <c r="BF150" s="266"/>
      <c r="BG150" s="266"/>
      <c r="BH150" s="266"/>
      <c r="BI150" s="266"/>
      <c r="BJ150" s="266"/>
      <c r="BK150" s="266"/>
      <c r="BL150" s="266"/>
      <c r="BM150" s="266"/>
      <c r="BN150" s="266"/>
      <c r="BO150" s="266"/>
      <c r="BP150" s="266"/>
      <c r="BQ150" s="266"/>
      <c r="BR150" s="266"/>
      <c r="BS150" s="266"/>
      <c r="BT150" s="266"/>
      <c r="BU150" s="266"/>
    </row>
    <row r="151" spans="41:73">
      <c r="AO151" s="266"/>
      <c r="AP151" s="266"/>
      <c r="AQ151" s="266"/>
      <c r="AR151" s="266"/>
      <c r="AS151" s="266"/>
      <c r="AT151" s="266"/>
      <c r="AU151" s="266"/>
      <c r="AV151" s="266"/>
      <c r="AW151" s="266"/>
      <c r="AX151" s="266"/>
      <c r="AY151" s="266"/>
      <c r="AZ151" s="266"/>
      <c r="BA151" s="266"/>
      <c r="BB151" s="266"/>
      <c r="BC151" s="266"/>
      <c r="BD151" s="266"/>
      <c r="BE151" s="266"/>
      <c r="BF151" s="266"/>
      <c r="BG151" s="266"/>
      <c r="BH151" s="266"/>
      <c r="BI151" s="266"/>
      <c r="BJ151" s="266"/>
      <c r="BK151" s="266"/>
      <c r="BL151" s="266"/>
      <c r="BM151" s="266"/>
      <c r="BN151" s="266"/>
      <c r="BO151" s="266"/>
      <c r="BP151" s="266"/>
      <c r="BQ151" s="266"/>
      <c r="BR151" s="266"/>
      <c r="BS151" s="266"/>
      <c r="BT151" s="266"/>
      <c r="BU151" s="266"/>
    </row>
    <row r="152" spans="41:73">
      <c r="AO152" s="266"/>
      <c r="AP152" s="266"/>
      <c r="AQ152" s="266"/>
      <c r="AR152" s="266"/>
      <c r="AS152" s="266"/>
      <c r="AT152" s="266"/>
      <c r="AU152" s="266"/>
      <c r="AV152" s="266"/>
      <c r="AW152" s="266"/>
      <c r="AX152" s="266"/>
      <c r="AY152" s="266"/>
      <c r="AZ152" s="266"/>
      <c r="BA152" s="266"/>
      <c r="BB152" s="266"/>
      <c r="BC152" s="266"/>
      <c r="BD152" s="266"/>
      <c r="BE152" s="266"/>
      <c r="BF152" s="266"/>
      <c r="BG152" s="266"/>
      <c r="BH152" s="266"/>
      <c r="BI152" s="266"/>
      <c r="BJ152" s="266"/>
      <c r="BK152" s="266"/>
      <c r="BL152" s="266"/>
      <c r="BM152" s="266"/>
      <c r="BN152" s="266"/>
      <c r="BO152" s="266"/>
      <c r="BP152" s="266"/>
      <c r="BQ152" s="266"/>
      <c r="BR152" s="266"/>
      <c r="BS152" s="266"/>
      <c r="BT152" s="266"/>
      <c r="BU152" s="266"/>
    </row>
    <row r="153" spans="41:73">
      <c r="AO153" s="266"/>
      <c r="AP153" s="266"/>
      <c r="AQ153" s="266"/>
      <c r="AR153" s="266"/>
      <c r="AS153" s="266"/>
      <c r="AT153" s="266"/>
      <c r="AU153" s="266"/>
      <c r="AV153" s="266"/>
      <c r="AW153" s="266"/>
      <c r="AX153" s="266"/>
      <c r="AY153" s="266"/>
      <c r="AZ153" s="266"/>
      <c r="BA153" s="266"/>
      <c r="BB153" s="266"/>
      <c r="BC153" s="266"/>
      <c r="BD153" s="266"/>
      <c r="BE153" s="266"/>
      <c r="BF153" s="266"/>
      <c r="BG153" s="266"/>
      <c r="BH153" s="266"/>
      <c r="BI153" s="266"/>
      <c r="BJ153" s="266"/>
      <c r="BK153" s="266"/>
      <c r="BL153" s="266"/>
      <c r="BM153" s="266"/>
      <c r="BN153" s="266"/>
      <c r="BO153" s="266"/>
      <c r="BP153" s="266"/>
      <c r="BQ153" s="266"/>
      <c r="BR153" s="266"/>
      <c r="BS153" s="266"/>
      <c r="BT153" s="266"/>
      <c r="BU153" s="266"/>
    </row>
    <row r="154" spans="41:73">
      <c r="AO154" s="266"/>
      <c r="AP154" s="266"/>
      <c r="AQ154" s="266"/>
      <c r="AR154" s="266"/>
      <c r="AS154" s="266"/>
      <c r="AT154" s="266"/>
      <c r="AU154" s="266"/>
      <c r="AV154" s="266"/>
      <c r="AW154" s="266"/>
      <c r="AX154" s="266"/>
      <c r="AY154" s="266"/>
      <c r="AZ154" s="266"/>
      <c r="BA154" s="266"/>
      <c r="BB154" s="266"/>
      <c r="BC154" s="266"/>
      <c r="BD154" s="266"/>
      <c r="BE154" s="266"/>
      <c r="BF154" s="266"/>
      <c r="BG154" s="266"/>
      <c r="BH154" s="266"/>
      <c r="BI154" s="266"/>
      <c r="BJ154" s="266"/>
      <c r="BK154" s="266"/>
      <c r="BL154" s="266"/>
      <c r="BM154" s="266"/>
      <c r="BN154" s="266"/>
      <c r="BO154" s="266"/>
      <c r="BP154" s="266"/>
      <c r="BQ154" s="266"/>
      <c r="BR154" s="266"/>
      <c r="BS154" s="266"/>
      <c r="BT154" s="266"/>
      <c r="BU154" s="266"/>
    </row>
    <row r="155" spans="41:73">
      <c r="AO155" s="266"/>
      <c r="AP155" s="266"/>
      <c r="AQ155" s="266"/>
      <c r="AR155" s="266"/>
      <c r="AS155" s="266"/>
      <c r="AT155" s="266"/>
      <c r="AU155" s="266"/>
      <c r="AV155" s="266"/>
      <c r="AW155" s="266"/>
      <c r="AX155" s="266"/>
      <c r="AY155" s="266"/>
      <c r="AZ155" s="266"/>
      <c r="BA155" s="266"/>
      <c r="BB155" s="266"/>
      <c r="BC155" s="266"/>
      <c r="BD155" s="266"/>
      <c r="BE155" s="266"/>
      <c r="BF155" s="266"/>
      <c r="BG155" s="266"/>
      <c r="BH155" s="266"/>
      <c r="BI155" s="266"/>
      <c r="BJ155" s="266"/>
      <c r="BK155" s="266"/>
      <c r="BL155" s="266"/>
      <c r="BM155" s="266"/>
      <c r="BN155" s="266"/>
      <c r="BO155" s="266"/>
      <c r="BP155" s="266"/>
      <c r="BQ155" s="266"/>
      <c r="BR155" s="266"/>
      <c r="BS155" s="266"/>
      <c r="BT155" s="266"/>
      <c r="BU155" s="266"/>
    </row>
    <row r="156" spans="41:73">
      <c r="AO156" s="266"/>
      <c r="AP156" s="266"/>
      <c r="AQ156" s="266"/>
      <c r="AR156" s="266"/>
      <c r="AS156" s="266"/>
      <c r="AT156" s="266"/>
      <c r="AU156" s="266"/>
      <c r="AV156" s="266"/>
      <c r="AW156" s="266"/>
      <c r="AX156" s="266"/>
      <c r="AY156" s="266"/>
      <c r="AZ156" s="266"/>
      <c r="BA156" s="266"/>
      <c r="BB156" s="266"/>
      <c r="BC156" s="266"/>
      <c r="BD156" s="266"/>
      <c r="BE156" s="266"/>
      <c r="BF156" s="266"/>
      <c r="BG156" s="266"/>
      <c r="BH156" s="266"/>
      <c r="BI156" s="266"/>
      <c r="BJ156" s="266"/>
      <c r="BK156" s="266"/>
      <c r="BL156" s="266"/>
      <c r="BM156" s="266"/>
      <c r="BN156" s="266"/>
      <c r="BO156" s="266"/>
      <c r="BP156" s="266"/>
      <c r="BQ156" s="266"/>
      <c r="BR156" s="266"/>
      <c r="BS156" s="266"/>
      <c r="BT156" s="266"/>
      <c r="BU156" s="266"/>
    </row>
    <row r="157" spans="41:73">
      <c r="AO157" s="266"/>
      <c r="AP157" s="266"/>
      <c r="AQ157" s="266"/>
      <c r="AR157" s="266"/>
      <c r="AS157" s="266"/>
      <c r="AT157" s="266"/>
      <c r="AU157" s="266"/>
      <c r="AV157" s="266"/>
      <c r="AW157" s="266"/>
      <c r="AX157" s="266"/>
      <c r="AY157" s="266"/>
      <c r="AZ157" s="266"/>
      <c r="BA157" s="266"/>
      <c r="BB157" s="266"/>
      <c r="BC157" s="266"/>
      <c r="BD157" s="266"/>
      <c r="BE157" s="266"/>
      <c r="BF157" s="266"/>
      <c r="BG157" s="266"/>
      <c r="BH157" s="266"/>
      <c r="BI157" s="266"/>
      <c r="BJ157" s="266"/>
      <c r="BK157" s="266"/>
      <c r="BL157" s="266"/>
      <c r="BM157" s="266"/>
      <c r="BN157" s="266"/>
      <c r="BO157" s="266"/>
      <c r="BP157" s="266"/>
      <c r="BQ157" s="266"/>
      <c r="BR157" s="266"/>
      <c r="BS157" s="266"/>
      <c r="BT157" s="266"/>
      <c r="BU157" s="266"/>
    </row>
    <row r="158" spans="41:73">
      <c r="AO158" s="266"/>
      <c r="AP158" s="266"/>
      <c r="AQ158" s="266"/>
      <c r="AR158" s="266"/>
      <c r="AS158" s="266"/>
      <c r="AT158" s="266"/>
      <c r="AU158" s="266"/>
      <c r="AV158" s="266"/>
      <c r="AW158" s="266"/>
      <c r="AX158" s="266"/>
      <c r="AY158" s="266"/>
      <c r="AZ158" s="266"/>
      <c r="BA158" s="266"/>
      <c r="BB158" s="266"/>
      <c r="BC158" s="266"/>
      <c r="BD158" s="266"/>
      <c r="BE158" s="266"/>
      <c r="BF158" s="266"/>
      <c r="BG158" s="266"/>
      <c r="BH158" s="266"/>
      <c r="BI158" s="266"/>
      <c r="BJ158" s="266"/>
      <c r="BK158" s="266"/>
      <c r="BL158" s="266"/>
      <c r="BM158" s="266"/>
      <c r="BN158" s="266"/>
      <c r="BO158" s="266"/>
      <c r="BP158" s="266"/>
      <c r="BQ158" s="266"/>
      <c r="BR158" s="266"/>
      <c r="BS158" s="266"/>
      <c r="BT158" s="266"/>
      <c r="BU158" s="266"/>
    </row>
    <row r="159" spans="41:73">
      <c r="AO159" s="266"/>
      <c r="AP159" s="266"/>
      <c r="AQ159" s="266"/>
      <c r="AR159" s="266"/>
      <c r="AS159" s="266"/>
      <c r="AT159" s="266"/>
      <c r="AU159" s="266"/>
      <c r="AV159" s="266"/>
      <c r="AW159" s="266"/>
      <c r="AX159" s="266"/>
      <c r="AY159" s="266"/>
      <c r="AZ159" s="266"/>
      <c r="BA159" s="266"/>
      <c r="BB159" s="266"/>
      <c r="BC159" s="266"/>
      <c r="BD159" s="266"/>
      <c r="BE159" s="266"/>
      <c r="BF159" s="266"/>
      <c r="BG159" s="266"/>
      <c r="BH159" s="266"/>
      <c r="BI159" s="266"/>
      <c r="BJ159" s="266"/>
      <c r="BK159" s="266"/>
      <c r="BL159" s="266"/>
      <c r="BM159" s="266"/>
      <c r="BN159" s="266"/>
      <c r="BO159" s="266"/>
      <c r="BP159" s="266"/>
      <c r="BQ159" s="266"/>
      <c r="BR159" s="266"/>
      <c r="BS159" s="266"/>
      <c r="BT159" s="266"/>
      <c r="BU159" s="266"/>
    </row>
    <row r="160" spans="41:73">
      <c r="AO160" s="266"/>
      <c r="AP160" s="266"/>
      <c r="AQ160" s="266"/>
      <c r="AR160" s="266"/>
      <c r="AS160" s="266"/>
      <c r="AT160" s="266"/>
      <c r="AU160" s="266"/>
      <c r="AV160" s="266"/>
      <c r="AW160" s="266"/>
      <c r="AX160" s="266"/>
      <c r="AY160" s="266"/>
      <c r="AZ160" s="266"/>
      <c r="BA160" s="266"/>
      <c r="BB160" s="266"/>
      <c r="BC160" s="266"/>
      <c r="BD160" s="266"/>
      <c r="BE160" s="266"/>
      <c r="BF160" s="266"/>
      <c r="BG160" s="266"/>
      <c r="BH160" s="266"/>
      <c r="BI160" s="266"/>
      <c r="BJ160" s="266"/>
      <c r="BK160" s="266"/>
      <c r="BL160" s="266"/>
      <c r="BM160" s="266"/>
      <c r="BN160" s="266"/>
      <c r="BO160" s="266"/>
      <c r="BP160" s="266"/>
      <c r="BQ160" s="266"/>
      <c r="BR160" s="266"/>
      <c r="BS160" s="266"/>
      <c r="BT160" s="266"/>
      <c r="BU160" s="266"/>
    </row>
    <row r="161" spans="41:73">
      <c r="AO161" s="266"/>
      <c r="AP161" s="266"/>
      <c r="AQ161" s="266"/>
      <c r="AR161" s="266"/>
      <c r="AS161" s="266"/>
      <c r="AT161" s="266"/>
      <c r="AU161" s="266"/>
      <c r="AV161" s="266"/>
      <c r="AW161" s="266"/>
      <c r="AX161" s="266"/>
      <c r="AY161" s="266"/>
      <c r="AZ161" s="266"/>
      <c r="BA161" s="266"/>
      <c r="BB161" s="266"/>
      <c r="BC161" s="266"/>
      <c r="BD161" s="266"/>
      <c r="BE161" s="266"/>
      <c r="BF161" s="266"/>
      <c r="BG161" s="266"/>
      <c r="BH161" s="266"/>
      <c r="BI161" s="266"/>
      <c r="BJ161" s="266"/>
      <c r="BK161" s="266"/>
      <c r="BL161" s="266"/>
      <c r="BM161" s="266"/>
      <c r="BN161" s="266"/>
      <c r="BO161" s="266"/>
      <c r="BP161" s="266"/>
      <c r="BQ161" s="266"/>
      <c r="BR161" s="266"/>
      <c r="BS161" s="266"/>
      <c r="BT161" s="266"/>
      <c r="BU161" s="266"/>
    </row>
    <row r="162" spans="41:73">
      <c r="AO162" s="266"/>
      <c r="AP162" s="266"/>
      <c r="AQ162" s="266"/>
      <c r="AR162" s="266"/>
      <c r="AS162" s="266"/>
      <c r="AT162" s="266"/>
      <c r="AU162" s="266"/>
      <c r="AV162" s="266"/>
      <c r="AW162" s="266"/>
      <c r="AX162" s="266"/>
      <c r="AY162" s="266"/>
      <c r="AZ162" s="266"/>
      <c r="BA162" s="266"/>
      <c r="BB162" s="266"/>
      <c r="BC162" s="266"/>
      <c r="BD162" s="266"/>
      <c r="BE162" s="266"/>
      <c r="BF162" s="266"/>
      <c r="BG162" s="266"/>
      <c r="BH162" s="266"/>
      <c r="BI162" s="266"/>
      <c r="BJ162" s="266"/>
      <c r="BK162" s="266"/>
      <c r="BL162" s="266"/>
      <c r="BM162" s="266"/>
      <c r="BN162" s="266"/>
      <c r="BO162" s="266"/>
      <c r="BP162" s="266"/>
      <c r="BQ162" s="266"/>
      <c r="BR162" s="266"/>
      <c r="BS162" s="266"/>
      <c r="BT162" s="266"/>
      <c r="BU162" s="266"/>
    </row>
    <row r="163" spans="41:73">
      <c r="AO163" s="266"/>
      <c r="AP163" s="266"/>
      <c r="AQ163" s="266"/>
      <c r="AR163" s="266"/>
      <c r="AS163" s="266"/>
      <c r="AT163" s="266"/>
      <c r="AU163" s="266"/>
      <c r="AV163" s="266"/>
      <c r="AW163" s="266"/>
      <c r="AX163" s="266"/>
      <c r="AY163" s="266"/>
      <c r="AZ163" s="266"/>
      <c r="BA163" s="266"/>
      <c r="BB163" s="266"/>
      <c r="BC163" s="266"/>
      <c r="BD163" s="266"/>
      <c r="BE163" s="266"/>
      <c r="BF163" s="266"/>
      <c r="BG163" s="266"/>
      <c r="BH163" s="266"/>
      <c r="BI163" s="266"/>
      <c r="BJ163" s="266"/>
      <c r="BK163" s="266"/>
      <c r="BL163" s="266"/>
      <c r="BM163" s="266"/>
      <c r="BN163" s="266"/>
      <c r="BO163" s="266"/>
      <c r="BP163" s="266"/>
      <c r="BQ163" s="266"/>
      <c r="BR163" s="266"/>
      <c r="BS163" s="266"/>
      <c r="BT163" s="266"/>
      <c r="BU163" s="266"/>
    </row>
    <row r="164" spans="41:73">
      <c r="AO164" s="266"/>
      <c r="AP164" s="266"/>
      <c r="AQ164" s="266"/>
      <c r="AR164" s="266"/>
      <c r="AS164" s="266"/>
      <c r="AT164" s="266"/>
      <c r="AU164" s="266"/>
      <c r="AV164" s="266"/>
      <c r="AW164" s="266"/>
      <c r="AX164" s="266"/>
      <c r="AY164" s="266"/>
      <c r="AZ164" s="266"/>
      <c r="BA164" s="266"/>
      <c r="BB164" s="266"/>
      <c r="BC164" s="266"/>
      <c r="BD164" s="266"/>
      <c r="BE164" s="266"/>
      <c r="BF164" s="266"/>
      <c r="BG164" s="266"/>
      <c r="BH164" s="266"/>
      <c r="BI164" s="266"/>
      <c r="BJ164" s="266"/>
      <c r="BK164" s="266"/>
      <c r="BL164" s="266"/>
      <c r="BM164" s="266"/>
      <c r="BN164" s="266"/>
      <c r="BO164" s="266"/>
      <c r="BP164" s="266"/>
      <c r="BQ164" s="266"/>
      <c r="BR164" s="266"/>
      <c r="BS164" s="266"/>
      <c r="BT164" s="266"/>
      <c r="BU164" s="266"/>
    </row>
    <row r="165" spans="41:73">
      <c r="AO165" s="266"/>
      <c r="AP165" s="266"/>
      <c r="AQ165" s="266"/>
      <c r="AR165" s="266"/>
      <c r="AS165" s="266"/>
      <c r="AT165" s="266"/>
      <c r="AU165" s="266"/>
      <c r="AV165" s="266"/>
      <c r="AW165" s="266"/>
      <c r="AX165" s="266"/>
      <c r="AY165" s="266"/>
      <c r="AZ165" s="266"/>
      <c r="BA165" s="266"/>
      <c r="BB165" s="266"/>
      <c r="BC165" s="266"/>
      <c r="BD165" s="266"/>
      <c r="BE165" s="266"/>
      <c r="BF165" s="266"/>
      <c r="BG165" s="266"/>
      <c r="BH165" s="266"/>
      <c r="BI165" s="266"/>
      <c r="BJ165" s="266"/>
      <c r="BK165" s="266"/>
      <c r="BL165" s="266"/>
      <c r="BM165" s="266"/>
      <c r="BN165" s="266"/>
      <c r="BO165" s="266"/>
      <c r="BP165" s="266"/>
      <c r="BQ165" s="266"/>
      <c r="BR165" s="266"/>
      <c r="BS165" s="266"/>
      <c r="BT165" s="266"/>
      <c r="BU165" s="266"/>
    </row>
    <row r="166" spans="41:73">
      <c r="AO166" s="266"/>
      <c r="AP166" s="266"/>
      <c r="AQ166" s="266"/>
      <c r="AR166" s="266"/>
      <c r="AS166" s="266"/>
      <c r="AT166" s="266"/>
      <c r="AU166" s="266"/>
      <c r="AV166" s="266"/>
      <c r="AW166" s="266"/>
      <c r="AX166" s="266"/>
      <c r="AY166" s="266"/>
      <c r="AZ166" s="266"/>
      <c r="BA166" s="266"/>
      <c r="BB166" s="266"/>
      <c r="BC166" s="266"/>
      <c r="BD166" s="266"/>
      <c r="BE166" s="266"/>
      <c r="BF166" s="266"/>
      <c r="BG166" s="266"/>
      <c r="BH166" s="266"/>
      <c r="BI166" s="266"/>
      <c r="BJ166" s="266"/>
      <c r="BK166" s="266"/>
      <c r="BL166" s="266"/>
      <c r="BM166" s="266"/>
      <c r="BN166" s="266"/>
      <c r="BO166" s="266"/>
      <c r="BP166" s="266"/>
      <c r="BQ166" s="266"/>
      <c r="BR166" s="266"/>
      <c r="BS166" s="266"/>
      <c r="BT166" s="266"/>
      <c r="BU166" s="266"/>
    </row>
    <row r="167" spans="41:73">
      <c r="AO167" s="266"/>
      <c r="AP167" s="266"/>
      <c r="AQ167" s="266"/>
      <c r="AR167" s="266"/>
      <c r="AS167" s="266"/>
      <c r="AT167" s="266"/>
      <c r="AU167" s="266"/>
      <c r="AV167" s="266"/>
      <c r="AW167" s="266"/>
      <c r="AX167" s="266"/>
      <c r="AY167" s="266"/>
      <c r="AZ167" s="266"/>
      <c r="BA167" s="266"/>
      <c r="BB167" s="266"/>
      <c r="BC167" s="266"/>
      <c r="BD167" s="266"/>
      <c r="BE167" s="266"/>
      <c r="BF167" s="266"/>
      <c r="BG167" s="266"/>
      <c r="BH167" s="266"/>
      <c r="BI167" s="266"/>
      <c r="BJ167" s="266"/>
      <c r="BK167" s="266"/>
      <c r="BL167" s="266"/>
      <c r="BM167" s="266"/>
      <c r="BN167" s="266"/>
      <c r="BO167" s="266"/>
      <c r="BP167" s="266"/>
      <c r="BQ167" s="266"/>
      <c r="BR167" s="266"/>
      <c r="BS167" s="266"/>
      <c r="BT167" s="266"/>
      <c r="BU167" s="266"/>
    </row>
    <row r="168" spans="41:73">
      <c r="AO168" s="266"/>
      <c r="AP168" s="266"/>
      <c r="AQ168" s="266"/>
      <c r="AR168" s="266"/>
      <c r="AS168" s="266"/>
      <c r="AT168" s="266"/>
      <c r="AU168" s="266"/>
      <c r="AV168" s="266"/>
      <c r="AW168" s="266"/>
      <c r="AX168" s="266"/>
      <c r="AY168" s="266"/>
      <c r="AZ168" s="266"/>
      <c r="BA168" s="266"/>
      <c r="BB168" s="266"/>
      <c r="BC168" s="266"/>
      <c r="BD168" s="266"/>
      <c r="BE168" s="266"/>
      <c r="BF168" s="266"/>
      <c r="BG168" s="266"/>
      <c r="BH168" s="266"/>
      <c r="BI168" s="266"/>
      <c r="BJ168" s="266"/>
      <c r="BK168" s="266"/>
      <c r="BL168" s="266"/>
      <c r="BM168" s="266"/>
      <c r="BN168" s="266"/>
      <c r="BO168" s="266"/>
      <c r="BP168" s="266"/>
      <c r="BQ168" s="266"/>
      <c r="BR168" s="266"/>
      <c r="BS168" s="266"/>
      <c r="BT168" s="266"/>
      <c r="BU168" s="266"/>
    </row>
    <row r="169" spans="41:73">
      <c r="AO169" s="266"/>
      <c r="AP169" s="266"/>
      <c r="AQ169" s="266"/>
      <c r="AR169" s="266"/>
      <c r="AS169" s="266"/>
      <c r="AT169" s="266"/>
      <c r="AU169" s="266"/>
      <c r="AV169" s="266"/>
      <c r="AW169" s="266"/>
      <c r="AX169" s="266"/>
      <c r="AY169" s="266"/>
      <c r="AZ169" s="266"/>
      <c r="BA169" s="266"/>
      <c r="BB169" s="266"/>
      <c r="BC169" s="266"/>
      <c r="BD169" s="266"/>
      <c r="BE169" s="266"/>
      <c r="BF169" s="266"/>
      <c r="BG169" s="266"/>
      <c r="BH169" s="266"/>
      <c r="BI169" s="266"/>
      <c r="BJ169" s="266"/>
      <c r="BK169" s="266"/>
      <c r="BL169" s="266"/>
      <c r="BM169" s="266"/>
      <c r="BN169" s="266"/>
      <c r="BO169" s="266"/>
      <c r="BP169" s="266"/>
      <c r="BQ169" s="266"/>
      <c r="BR169" s="266"/>
      <c r="BS169" s="266"/>
      <c r="BT169" s="266"/>
      <c r="BU169" s="266"/>
    </row>
    <row r="170" spans="41:73">
      <c r="AO170" s="266"/>
      <c r="AP170" s="266"/>
      <c r="AQ170" s="266"/>
      <c r="AR170" s="266"/>
      <c r="AS170" s="266"/>
      <c r="AT170" s="266"/>
      <c r="AU170" s="266"/>
      <c r="AV170" s="266"/>
      <c r="AW170" s="266"/>
      <c r="AX170" s="266"/>
      <c r="AY170" s="266"/>
      <c r="AZ170" s="266"/>
      <c r="BA170" s="266"/>
      <c r="BB170" s="266"/>
      <c r="BC170" s="266"/>
      <c r="BD170" s="266"/>
      <c r="BE170" s="266"/>
      <c r="BF170" s="266"/>
      <c r="BG170" s="266"/>
      <c r="BH170" s="266"/>
      <c r="BI170" s="266"/>
      <c r="BJ170" s="266"/>
      <c r="BK170" s="266"/>
      <c r="BL170" s="266"/>
      <c r="BM170" s="266"/>
      <c r="BN170" s="266"/>
      <c r="BO170" s="266"/>
      <c r="BP170" s="266"/>
      <c r="BQ170" s="266"/>
      <c r="BR170" s="266"/>
      <c r="BS170" s="266"/>
      <c r="BT170" s="266"/>
      <c r="BU170" s="266"/>
    </row>
    <row r="171" spans="41:73">
      <c r="AO171" s="266"/>
      <c r="AP171" s="266"/>
      <c r="AQ171" s="266"/>
      <c r="AR171" s="266"/>
      <c r="AS171" s="266"/>
      <c r="AT171" s="266"/>
      <c r="AU171" s="266"/>
      <c r="AV171" s="266"/>
      <c r="AW171" s="266"/>
      <c r="AX171" s="266"/>
      <c r="AY171" s="266"/>
      <c r="AZ171" s="266"/>
      <c r="BA171" s="266"/>
      <c r="BB171" s="266"/>
      <c r="BC171" s="266"/>
      <c r="BD171" s="266"/>
      <c r="BE171" s="266"/>
      <c r="BF171" s="266"/>
      <c r="BG171" s="266"/>
      <c r="BH171" s="266"/>
      <c r="BI171" s="266"/>
      <c r="BJ171" s="266"/>
      <c r="BK171" s="266"/>
      <c r="BL171" s="266"/>
      <c r="BM171" s="266"/>
      <c r="BN171" s="266"/>
      <c r="BO171" s="266"/>
      <c r="BP171" s="266"/>
      <c r="BQ171" s="266"/>
      <c r="BR171" s="266"/>
      <c r="BS171" s="266"/>
      <c r="BT171" s="266"/>
      <c r="BU171" s="266"/>
    </row>
    <row r="172" spans="41:73">
      <c r="AO172" s="266"/>
      <c r="AP172" s="266"/>
      <c r="AQ172" s="266"/>
      <c r="AR172" s="266"/>
      <c r="AS172" s="266"/>
      <c r="AT172" s="266"/>
      <c r="AU172" s="266"/>
      <c r="AV172" s="266"/>
      <c r="AW172" s="266"/>
      <c r="AX172" s="266"/>
      <c r="AY172" s="266"/>
      <c r="AZ172" s="266"/>
      <c r="BA172" s="266"/>
      <c r="BB172" s="266"/>
      <c r="BC172" s="266"/>
      <c r="BD172" s="266"/>
      <c r="BE172" s="266"/>
      <c r="BF172" s="266"/>
      <c r="BG172" s="266"/>
      <c r="BH172" s="266"/>
      <c r="BI172" s="266"/>
      <c r="BJ172" s="266"/>
      <c r="BK172" s="266"/>
      <c r="BL172" s="266"/>
      <c r="BM172" s="266"/>
      <c r="BN172" s="266"/>
      <c r="BO172" s="266"/>
      <c r="BP172" s="266"/>
      <c r="BQ172" s="266"/>
      <c r="BR172" s="266"/>
      <c r="BS172" s="266"/>
      <c r="BT172" s="266"/>
      <c r="BU172" s="266"/>
    </row>
    <row r="173" spans="41:73">
      <c r="AO173" s="266"/>
      <c r="AP173" s="266"/>
      <c r="AQ173" s="266"/>
      <c r="AR173" s="266"/>
      <c r="AS173" s="266"/>
      <c r="AT173" s="266"/>
      <c r="AU173" s="266"/>
      <c r="AV173" s="266"/>
      <c r="AW173" s="266"/>
      <c r="AX173" s="266"/>
      <c r="AY173" s="266"/>
      <c r="AZ173" s="266"/>
      <c r="BA173" s="266"/>
      <c r="BB173" s="266"/>
      <c r="BC173" s="266"/>
      <c r="BD173" s="266"/>
      <c r="BE173" s="266"/>
      <c r="BF173" s="266"/>
      <c r="BG173" s="266"/>
      <c r="BH173" s="266"/>
      <c r="BI173" s="266"/>
      <c r="BJ173" s="266"/>
      <c r="BK173" s="266"/>
      <c r="BL173" s="266"/>
      <c r="BM173" s="266"/>
      <c r="BN173" s="266"/>
      <c r="BO173" s="266"/>
      <c r="BP173" s="266"/>
      <c r="BQ173" s="266"/>
      <c r="BR173" s="266"/>
      <c r="BS173" s="266"/>
      <c r="BT173" s="266"/>
      <c r="BU173" s="266"/>
    </row>
    <row r="174" spans="41:73">
      <c r="AO174" s="266"/>
      <c r="AP174" s="266"/>
      <c r="AQ174" s="266"/>
      <c r="AR174" s="266"/>
      <c r="AS174" s="266"/>
      <c r="AT174" s="266"/>
      <c r="AU174" s="266"/>
      <c r="AV174" s="266"/>
      <c r="AW174" s="266"/>
      <c r="AX174" s="266"/>
      <c r="AY174" s="266"/>
      <c r="AZ174" s="266"/>
      <c r="BA174" s="266"/>
      <c r="BB174" s="266"/>
      <c r="BC174" s="266"/>
      <c r="BD174" s="266"/>
      <c r="BE174" s="266"/>
      <c r="BF174" s="266"/>
      <c r="BG174" s="266"/>
      <c r="BH174" s="266"/>
      <c r="BI174" s="266"/>
      <c r="BJ174" s="266"/>
      <c r="BK174" s="266"/>
      <c r="BL174" s="266"/>
      <c r="BM174" s="266"/>
      <c r="BN174" s="266"/>
      <c r="BO174" s="266"/>
      <c r="BP174" s="266"/>
      <c r="BQ174" s="266"/>
      <c r="BR174" s="266"/>
      <c r="BS174" s="266"/>
      <c r="BT174" s="266"/>
      <c r="BU174" s="266"/>
    </row>
    <row r="175" spans="41:73">
      <c r="AO175" s="266"/>
      <c r="AP175" s="266"/>
      <c r="AQ175" s="266"/>
      <c r="AR175" s="266"/>
      <c r="AS175" s="266"/>
      <c r="AT175" s="266"/>
      <c r="AU175" s="266"/>
      <c r="AV175" s="266"/>
      <c r="AW175" s="266"/>
      <c r="AX175" s="266"/>
      <c r="AY175" s="266"/>
      <c r="AZ175" s="266"/>
      <c r="BA175" s="266"/>
      <c r="BB175" s="266"/>
      <c r="BC175" s="266"/>
      <c r="BD175" s="266"/>
      <c r="BE175" s="266"/>
      <c r="BF175" s="266"/>
      <c r="BG175" s="266"/>
      <c r="BH175" s="266"/>
      <c r="BI175" s="266"/>
      <c r="BJ175" s="266"/>
      <c r="BK175" s="266"/>
      <c r="BL175" s="266"/>
      <c r="BM175" s="266"/>
      <c r="BN175" s="266"/>
      <c r="BO175" s="266"/>
      <c r="BP175" s="266"/>
      <c r="BQ175" s="266"/>
      <c r="BR175" s="266"/>
      <c r="BS175" s="266"/>
      <c r="BT175" s="266"/>
      <c r="BU175" s="266"/>
    </row>
    <row r="176" spans="41:73">
      <c r="AO176" s="266"/>
      <c r="AP176" s="266"/>
      <c r="AQ176" s="266"/>
      <c r="AR176" s="266"/>
      <c r="AS176" s="266"/>
      <c r="AT176" s="266"/>
      <c r="AU176" s="266"/>
      <c r="AV176" s="266"/>
      <c r="AW176" s="266"/>
      <c r="AX176" s="266"/>
      <c r="AY176" s="266"/>
      <c r="AZ176" s="266"/>
      <c r="BA176" s="266"/>
      <c r="BB176" s="266"/>
      <c r="BC176" s="266"/>
      <c r="BD176" s="266"/>
      <c r="BE176" s="266"/>
      <c r="BF176" s="266"/>
      <c r="BG176" s="266"/>
      <c r="BH176" s="266"/>
      <c r="BI176" s="266"/>
      <c r="BJ176" s="266"/>
      <c r="BK176" s="266"/>
      <c r="BL176" s="266"/>
      <c r="BM176" s="266"/>
      <c r="BN176" s="266"/>
      <c r="BO176" s="266"/>
      <c r="BP176" s="266"/>
      <c r="BQ176" s="266"/>
      <c r="BR176" s="266"/>
      <c r="BS176" s="266"/>
      <c r="BT176" s="266"/>
      <c r="BU176" s="266"/>
    </row>
    <row r="177" spans="41:73">
      <c r="AO177" s="266"/>
      <c r="AP177" s="266"/>
      <c r="AQ177" s="266"/>
      <c r="AR177" s="266"/>
      <c r="AS177" s="266"/>
      <c r="AT177" s="266"/>
      <c r="AU177" s="266"/>
      <c r="AV177" s="266"/>
      <c r="AW177" s="266"/>
      <c r="AX177" s="266"/>
      <c r="AY177" s="266"/>
      <c r="AZ177" s="266"/>
      <c r="BA177" s="266"/>
      <c r="BB177" s="266"/>
      <c r="BC177" s="266"/>
      <c r="BD177" s="266"/>
      <c r="BE177" s="266"/>
      <c r="BF177" s="266"/>
      <c r="BG177" s="266"/>
      <c r="BH177" s="266"/>
      <c r="BI177" s="266"/>
      <c r="BJ177" s="266"/>
      <c r="BK177" s="266"/>
      <c r="BL177" s="266"/>
      <c r="BM177" s="266"/>
      <c r="BN177" s="266"/>
      <c r="BO177" s="266"/>
      <c r="BP177" s="266"/>
      <c r="BQ177" s="266"/>
      <c r="BR177" s="266"/>
      <c r="BS177" s="266"/>
      <c r="BT177" s="266"/>
      <c r="BU177" s="266"/>
    </row>
    <row r="178" spans="41:73">
      <c r="AO178" s="266"/>
      <c r="AP178" s="266"/>
      <c r="AQ178" s="266"/>
      <c r="AR178" s="266"/>
      <c r="AS178" s="266"/>
      <c r="AT178" s="266"/>
      <c r="AU178" s="266"/>
      <c r="AV178" s="266"/>
      <c r="AW178" s="266"/>
      <c r="AX178" s="266"/>
      <c r="AY178" s="266"/>
      <c r="AZ178" s="266"/>
      <c r="BA178" s="266"/>
      <c r="BB178" s="266"/>
      <c r="BC178" s="266"/>
      <c r="BD178" s="266"/>
      <c r="BE178" s="266"/>
      <c r="BF178" s="266"/>
      <c r="BG178" s="266"/>
      <c r="BH178" s="266"/>
      <c r="BI178" s="266"/>
      <c r="BJ178" s="266"/>
      <c r="BK178" s="266"/>
      <c r="BL178" s="266"/>
      <c r="BM178" s="266"/>
      <c r="BN178" s="266"/>
      <c r="BO178" s="266"/>
      <c r="BP178" s="266"/>
      <c r="BQ178" s="266"/>
      <c r="BR178" s="266"/>
      <c r="BS178" s="266"/>
      <c r="BT178" s="266"/>
      <c r="BU178" s="266"/>
    </row>
    <row r="179" spans="41:73">
      <c r="AO179" s="266"/>
      <c r="AP179" s="266"/>
      <c r="AQ179" s="266"/>
      <c r="AR179" s="266"/>
      <c r="AS179" s="266"/>
      <c r="AT179" s="266"/>
      <c r="AU179" s="266"/>
      <c r="AV179" s="266"/>
      <c r="AW179" s="266"/>
      <c r="AX179" s="266"/>
      <c r="AY179" s="266"/>
      <c r="AZ179" s="266"/>
      <c r="BA179" s="266"/>
      <c r="BB179" s="266"/>
      <c r="BC179" s="266"/>
      <c r="BD179" s="266"/>
      <c r="BE179" s="266"/>
      <c r="BF179" s="266"/>
      <c r="BG179" s="266"/>
      <c r="BH179" s="266"/>
      <c r="BI179" s="266"/>
      <c r="BJ179" s="266"/>
      <c r="BK179" s="266"/>
      <c r="BL179" s="266"/>
      <c r="BM179" s="266"/>
      <c r="BN179" s="266"/>
      <c r="BO179" s="266"/>
      <c r="BP179" s="266"/>
      <c r="BQ179" s="266"/>
      <c r="BR179" s="266"/>
      <c r="BS179" s="266"/>
      <c r="BT179" s="266"/>
      <c r="BU179" s="266"/>
    </row>
    <row r="180" spans="41:73">
      <c r="AO180" s="266"/>
      <c r="AP180" s="266"/>
      <c r="AQ180" s="266"/>
      <c r="AR180" s="266"/>
      <c r="AS180" s="266"/>
      <c r="AT180" s="266"/>
      <c r="AU180" s="266"/>
      <c r="AV180" s="266"/>
      <c r="AW180" s="266"/>
      <c r="AX180" s="266"/>
      <c r="AY180" s="266"/>
      <c r="AZ180" s="266"/>
      <c r="BA180" s="266"/>
      <c r="BB180" s="266"/>
      <c r="BC180" s="266"/>
      <c r="BD180" s="266"/>
      <c r="BE180" s="266"/>
      <c r="BF180" s="266"/>
      <c r="BG180" s="266"/>
      <c r="BH180" s="266"/>
      <c r="BI180" s="266"/>
      <c r="BJ180" s="266"/>
      <c r="BK180" s="266"/>
      <c r="BL180" s="266"/>
      <c r="BM180" s="266"/>
      <c r="BN180" s="266"/>
      <c r="BO180" s="266"/>
      <c r="BP180" s="266"/>
      <c r="BQ180" s="266"/>
      <c r="BR180" s="266"/>
      <c r="BS180" s="266"/>
      <c r="BT180" s="266"/>
      <c r="BU180" s="266"/>
    </row>
    <row r="181" spans="41:73">
      <c r="AO181" s="266"/>
      <c r="AP181" s="266"/>
      <c r="AQ181" s="266"/>
      <c r="AR181" s="266"/>
      <c r="AS181" s="266"/>
      <c r="AT181" s="266"/>
      <c r="AU181" s="266"/>
      <c r="AV181" s="266"/>
      <c r="AW181" s="266"/>
      <c r="AX181" s="266"/>
      <c r="AY181" s="266"/>
      <c r="AZ181" s="266"/>
      <c r="BA181" s="266"/>
      <c r="BB181" s="266"/>
      <c r="BC181" s="266"/>
      <c r="BD181" s="266"/>
      <c r="BE181" s="266"/>
      <c r="BF181" s="266"/>
      <c r="BG181" s="266"/>
      <c r="BH181" s="266"/>
      <c r="BI181" s="266"/>
      <c r="BJ181" s="266"/>
      <c r="BK181" s="266"/>
      <c r="BL181" s="266"/>
      <c r="BM181" s="266"/>
      <c r="BN181" s="266"/>
      <c r="BO181" s="266"/>
      <c r="BP181" s="266"/>
      <c r="BQ181" s="266"/>
      <c r="BR181" s="266"/>
      <c r="BS181" s="266"/>
      <c r="BT181" s="266"/>
      <c r="BU181" s="266"/>
    </row>
    <row r="182" spans="41:73">
      <c r="AO182" s="266"/>
      <c r="AP182" s="266"/>
      <c r="AQ182" s="266"/>
      <c r="AR182" s="266"/>
      <c r="AS182" s="266"/>
      <c r="AT182" s="266"/>
      <c r="AU182" s="266"/>
      <c r="AV182" s="266"/>
      <c r="AW182" s="266"/>
      <c r="AX182" s="266"/>
      <c r="AY182" s="266"/>
      <c r="AZ182" s="266"/>
      <c r="BA182" s="266"/>
      <c r="BB182" s="266"/>
      <c r="BC182" s="266"/>
      <c r="BD182" s="266"/>
      <c r="BE182" s="266"/>
      <c r="BF182" s="266"/>
      <c r="BG182" s="266"/>
      <c r="BH182" s="266"/>
      <c r="BI182" s="266"/>
      <c r="BJ182" s="266"/>
      <c r="BK182" s="266"/>
      <c r="BL182" s="266"/>
      <c r="BM182" s="266"/>
      <c r="BN182" s="266"/>
      <c r="BO182" s="266"/>
      <c r="BP182" s="266"/>
      <c r="BQ182" s="266"/>
      <c r="BR182" s="266"/>
      <c r="BS182" s="266"/>
      <c r="BT182" s="266"/>
      <c r="BU182" s="266"/>
    </row>
    <row r="183" spans="41:73">
      <c r="AO183" s="266"/>
      <c r="AP183" s="266"/>
      <c r="AQ183" s="266"/>
      <c r="AR183" s="266"/>
      <c r="AS183" s="266"/>
      <c r="AT183" s="266"/>
      <c r="AU183" s="266"/>
      <c r="AV183" s="266"/>
      <c r="AW183" s="266"/>
      <c r="AX183" s="266"/>
      <c r="AY183" s="266"/>
      <c r="AZ183" s="266"/>
      <c r="BA183" s="266"/>
      <c r="BB183" s="266"/>
      <c r="BC183" s="266"/>
      <c r="BD183" s="266"/>
      <c r="BE183" s="266"/>
      <c r="BF183" s="266"/>
      <c r="BG183" s="266"/>
      <c r="BH183" s="266"/>
      <c r="BI183" s="266"/>
      <c r="BJ183" s="266"/>
      <c r="BK183" s="266"/>
      <c r="BL183" s="266"/>
      <c r="BM183" s="266"/>
      <c r="BN183" s="266"/>
      <c r="BO183" s="266"/>
      <c r="BP183" s="266"/>
      <c r="BQ183" s="266"/>
      <c r="BR183" s="266"/>
      <c r="BS183" s="266"/>
      <c r="BT183" s="266"/>
      <c r="BU183" s="266"/>
    </row>
    <row r="184" spans="41:73">
      <c r="AO184" s="266"/>
      <c r="AP184" s="266"/>
      <c r="AQ184" s="266"/>
      <c r="AR184" s="266"/>
      <c r="AS184" s="266"/>
      <c r="AT184" s="266"/>
      <c r="AU184" s="266"/>
      <c r="AV184" s="266"/>
      <c r="AW184" s="266"/>
      <c r="AX184" s="266"/>
      <c r="AY184" s="266"/>
      <c r="AZ184" s="266"/>
      <c r="BA184" s="266"/>
      <c r="BB184" s="266"/>
      <c r="BC184" s="266"/>
      <c r="BD184" s="266"/>
      <c r="BE184" s="266"/>
      <c r="BF184" s="266"/>
      <c r="BG184" s="266"/>
      <c r="BH184" s="266"/>
      <c r="BI184" s="266"/>
      <c r="BJ184" s="266"/>
      <c r="BK184" s="266"/>
      <c r="BL184" s="266"/>
      <c r="BM184" s="266"/>
      <c r="BN184" s="266"/>
      <c r="BO184" s="266"/>
      <c r="BP184" s="266"/>
      <c r="BQ184" s="266"/>
      <c r="BR184" s="266"/>
      <c r="BS184" s="266"/>
      <c r="BT184" s="266"/>
      <c r="BU184" s="266"/>
    </row>
    <row r="185" spans="41:73">
      <c r="AO185" s="266"/>
      <c r="AP185" s="266"/>
      <c r="AQ185" s="266"/>
      <c r="AR185" s="266"/>
      <c r="AS185" s="266"/>
      <c r="AT185" s="266"/>
      <c r="AU185" s="266"/>
      <c r="AV185" s="266"/>
      <c r="AW185" s="266"/>
      <c r="AX185" s="266"/>
      <c r="AY185" s="266"/>
      <c r="AZ185" s="266"/>
      <c r="BA185" s="266"/>
      <c r="BB185" s="266"/>
      <c r="BC185" s="266"/>
      <c r="BD185" s="266"/>
      <c r="BE185" s="266"/>
      <c r="BF185" s="266"/>
      <c r="BG185" s="266"/>
      <c r="BH185" s="266"/>
      <c r="BI185" s="266"/>
      <c r="BJ185" s="266"/>
      <c r="BK185" s="266"/>
      <c r="BL185" s="266"/>
      <c r="BM185" s="266"/>
      <c r="BN185" s="266"/>
      <c r="BO185" s="266"/>
      <c r="BP185" s="266"/>
      <c r="BQ185" s="266"/>
      <c r="BR185" s="266"/>
      <c r="BS185" s="266"/>
      <c r="BT185" s="266"/>
      <c r="BU185" s="266"/>
    </row>
    <row r="186" spans="41:73">
      <c r="AO186" s="266"/>
      <c r="AP186" s="266"/>
      <c r="AQ186" s="266"/>
      <c r="AR186" s="266"/>
      <c r="AS186" s="266"/>
      <c r="AT186" s="266"/>
      <c r="AU186" s="266"/>
      <c r="AV186" s="266"/>
      <c r="AW186" s="266"/>
      <c r="AX186" s="266"/>
      <c r="AY186" s="266"/>
      <c r="AZ186" s="266"/>
      <c r="BA186" s="266"/>
      <c r="BB186" s="266"/>
      <c r="BC186" s="266"/>
      <c r="BD186" s="266"/>
      <c r="BE186" s="266"/>
      <c r="BF186" s="266"/>
      <c r="BG186" s="266"/>
      <c r="BH186" s="266"/>
      <c r="BI186" s="266"/>
      <c r="BJ186" s="266"/>
      <c r="BK186" s="266"/>
      <c r="BL186" s="266"/>
      <c r="BM186" s="266"/>
      <c r="BN186" s="266"/>
      <c r="BO186" s="266"/>
      <c r="BP186" s="266"/>
      <c r="BQ186" s="266"/>
      <c r="BR186" s="266"/>
      <c r="BS186" s="266"/>
      <c r="BT186" s="266"/>
      <c r="BU186" s="266"/>
    </row>
    <row r="187" spans="41:73">
      <c r="AO187" s="266"/>
      <c r="AP187" s="266"/>
      <c r="AQ187" s="266"/>
      <c r="AR187" s="266"/>
      <c r="AS187" s="266"/>
      <c r="AT187" s="266"/>
      <c r="AU187" s="266"/>
      <c r="AV187" s="266"/>
      <c r="AW187" s="266"/>
      <c r="AX187" s="266"/>
      <c r="AY187" s="266"/>
      <c r="AZ187" s="266"/>
      <c r="BA187" s="266"/>
      <c r="BB187" s="266"/>
      <c r="BC187" s="266"/>
      <c r="BD187" s="266"/>
      <c r="BE187" s="266"/>
      <c r="BF187" s="266"/>
      <c r="BG187" s="266"/>
      <c r="BH187" s="266"/>
      <c r="BI187" s="266"/>
      <c r="BJ187" s="266"/>
      <c r="BK187" s="266"/>
      <c r="BL187" s="266"/>
      <c r="BM187" s="266"/>
      <c r="BN187" s="266"/>
      <c r="BO187" s="266"/>
      <c r="BP187" s="266"/>
      <c r="BQ187" s="266"/>
      <c r="BR187" s="266"/>
      <c r="BS187" s="266"/>
      <c r="BT187" s="266"/>
      <c r="BU187" s="266"/>
    </row>
    <row r="188" spans="41:73">
      <c r="AO188" s="266"/>
      <c r="AP188" s="266"/>
      <c r="AQ188" s="266"/>
      <c r="AR188" s="266"/>
      <c r="AS188" s="266"/>
      <c r="AT188" s="266"/>
      <c r="AU188" s="266"/>
      <c r="AV188" s="266"/>
      <c r="AW188" s="266"/>
      <c r="AX188" s="266"/>
      <c r="AY188" s="266"/>
      <c r="AZ188" s="266"/>
      <c r="BA188" s="266"/>
      <c r="BB188" s="266"/>
      <c r="BC188" s="266"/>
      <c r="BD188" s="266"/>
      <c r="BE188" s="266"/>
      <c r="BF188" s="266"/>
      <c r="BG188" s="266"/>
      <c r="BH188" s="266"/>
      <c r="BI188" s="266"/>
      <c r="BJ188" s="266"/>
      <c r="BK188" s="266"/>
      <c r="BL188" s="266"/>
      <c r="BM188" s="266"/>
      <c r="BN188" s="266"/>
      <c r="BO188" s="266"/>
      <c r="BP188" s="266"/>
      <c r="BQ188" s="266"/>
      <c r="BR188" s="266"/>
      <c r="BS188" s="266"/>
      <c r="BT188" s="266"/>
      <c r="BU188" s="266"/>
    </row>
    <row r="189" spans="41:73">
      <c r="AO189" s="266"/>
      <c r="AP189" s="266"/>
      <c r="AQ189" s="266"/>
      <c r="AR189" s="266"/>
      <c r="AS189" s="266"/>
      <c r="AT189" s="266"/>
      <c r="AU189" s="266"/>
      <c r="AV189" s="266"/>
      <c r="AW189" s="266"/>
      <c r="AX189" s="266"/>
      <c r="AY189" s="266"/>
      <c r="AZ189" s="266"/>
      <c r="BA189" s="266"/>
      <c r="BB189" s="266"/>
      <c r="BC189" s="266"/>
      <c r="BD189" s="266"/>
      <c r="BE189" s="266"/>
      <c r="BF189" s="266"/>
      <c r="BG189" s="266"/>
      <c r="BH189" s="266"/>
      <c r="BI189" s="266"/>
      <c r="BJ189" s="266"/>
      <c r="BK189" s="266"/>
      <c r="BL189" s="266"/>
      <c r="BM189" s="266"/>
      <c r="BN189" s="266"/>
      <c r="BO189" s="266"/>
      <c r="BP189" s="266"/>
      <c r="BQ189" s="266"/>
      <c r="BR189" s="266"/>
      <c r="BS189" s="266"/>
      <c r="BT189" s="266"/>
      <c r="BU189" s="266"/>
    </row>
    <row r="190" spans="41:73">
      <c r="AO190" s="266"/>
      <c r="AP190" s="266"/>
      <c r="AQ190" s="266"/>
      <c r="AR190" s="266"/>
      <c r="AS190" s="266"/>
      <c r="AT190" s="266"/>
      <c r="AU190" s="266"/>
      <c r="AV190" s="266"/>
      <c r="AW190" s="266"/>
      <c r="AX190" s="266"/>
      <c r="AY190" s="266"/>
      <c r="AZ190" s="266"/>
      <c r="BA190" s="266"/>
      <c r="BB190" s="266"/>
      <c r="BC190" s="266"/>
      <c r="BD190" s="266"/>
      <c r="BE190" s="266"/>
      <c r="BF190" s="266"/>
      <c r="BG190" s="266"/>
      <c r="BH190" s="266"/>
      <c r="BI190" s="266"/>
      <c r="BJ190" s="266"/>
      <c r="BK190" s="266"/>
      <c r="BL190" s="266"/>
      <c r="BM190" s="266"/>
      <c r="BN190" s="266"/>
      <c r="BO190" s="266"/>
      <c r="BP190" s="266"/>
      <c r="BQ190" s="266"/>
      <c r="BR190" s="266"/>
      <c r="BS190" s="266"/>
      <c r="BT190" s="266"/>
      <c r="BU190" s="266"/>
    </row>
    <row r="191" spans="41:73">
      <c r="AO191" s="266"/>
      <c r="AP191" s="266"/>
      <c r="AQ191" s="266"/>
      <c r="AR191" s="266"/>
      <c r="AS191" s="266"/>
      <c r="AT191" s="266"/>
      <c r="AU191" s="266"/>
      <c r="AV191" s="266"/>
      <c r="AW191" s="266"/>
      <c r="AX191" s="266"/>
      <c r="AY191" s="266"/>
      <c r="AZ191" s="266"/>
      <c r="BA191" s="266"/>
      <c r="BB191" s="266"/>
      <c r="BC191" s="266"/>
      <c r="BD191" s="266"/>
      <c r="BE191" s="266"/>
      <c r="BF191" s="266"/>
      <c r="BG191" s="266"/>
      <c r="BH191" s="266"/>
      <c r="BI191" s="266"/>
      <c r="BJ191" s="266"/>
      <c r="BK191" s="266"/>
      <c r="BL191" s="266"/>
      <c r="BM191" s="266"/>
      <c r="BN191" s="266"/>
      <c r="BO191" s="266"/>
      <c r="BP191" s="266"/>
      <c r="BQ191" s="266"/>
      <c r="BR191" s="266"/>
      <c r="BS191" s="266"/>
      <c r="BT191" s="266"/>
      <c r="BU191" s="266"/>
    </row>
    <row r="192" spans="41:73">
      <c r="AO192" s="266"/>
      <c r="AP192" s="266"/>
      <c r="AQ192" s="266"/>
      <c r="AR192" s="266"/>
      <c r="AS192" s="266"/>
      <c r="AT192" s="266"/>
      <c r="AU192" s="266"/>
      <c r="AV192" s="266"/>
      <c r="AW192" s="266"/>
      <c r="AX192" s="266"/>
      <c r="AY192" s="266"/>
      <c r="AZ192" s="266"/>
      <c r="BA192" s="266"/>
      <c r="BB192" s="266"/>
      <c r="BC192" s="266"/>
      <c r="BD192" s="266"/>
      <c r="BE192" s="266"/>
      <c r="BF192" s="266"/>
      <c r="BG192" s="266"/>
      <c r="BH192" s="266"/>
      <c r="BI192" s="266"/>
      <c r="BJ192" s="266"/>
      <c r="BK192" s="266"/>
      <c r="BL192" s="266"/>
      <c r="BM192" s="266"/>
      <c r="BN192" s="266"/>
      <c r="BO192" s="266"/>
      <c r="BP192" s="266"/>
      <c r="BQ192" s="266"/>
      <c r="BR192" s="266"/>
      <c r="BS192" s="266"/>
      <c r="BT192" s="266"/>
      <c r="BU192" s="266"/>
    </row>
    <row r="193" spans="41:73">
      <c r="AO193" s="266"/>
      <c r="AP193" s="266"/>
      <c r="AQ193" s="266"/>
      <c r="AR193" s="266"/>
      <c r="AS193" s="266"/>
      <c r="AT193" s="266"/>
      <c r="AU193" s="266"/>
      <c r="AV193" s="266"/>
      <c r="AW193" s="266"/>
      <c r="AX193" s="266"/>
      <c r="AY193" s="266"/>
      <c r="AZ193" s="266"/>
      <c r="BA193" s="266"/>
      <c r="BB193" s="266"/>
      <c r="BC193" s="266"/>
      <c r="BD193" s="266"/>
      <c r="BE193" s="266"/>
      <c r="BF193" s="266"/>
      <c r="BG193" s="266"/>
      <c r="BH193" s="266"/>
      <c r="BI193" s="266"/>
      <c r="BJ193" s="266"/>
      <c r="BK193" s="266"/>
      <c r="BL193" s="266"/>
      <c r="BM193" s="266"/>
      <c r="BN193" s="266"/>
      <c r="BO193" s="266"/>
      <c r="BP193" s="266"/>
      <c r="BQ193" s="266"/>
      <c r="BR193" s="266"/>
      <c r="BS193" s="266"/>
      <c r="BT193" s="266"/>
      <c r="BU193" s="266"/>
    </row>
  </sheetData>
  <sheetProtection password="8A5F" sheet="1" scenarios="1" formatCells="0" formatColumns="0" formatRows="0" insertColumns="0" insertRows="0" deleteColumns="0" deleteRows="0" selectLockedCells="1"/>
  <mergeCells count="200">
    <mergeCell ref="AK66:AN66"/>
    <mergeCell ref="V54:Z54"/>
    <mergeCell ref="AH58:AJ58"/>
    <mergeCell ref="A64:F64"/>
    <mergeCell ref="A63:F63"/>
    <mergeCell ref="A62:F62"/>
    <mergeCell ref="E56:J56"/>
    <mergeCell ref="A59:J59"/>
    <mergeCell ref="G60:J60"/>
    <mergeCell ref="G61:J61"/>
    <mergeCell ref="G62:J62"/>
    <mergeCell ref="G63:J63"/>
    <mergeCell ref="G64:J64"/>
    <mergeCell ref="A58:J58"/>
    <mergeCell ref="AH64:AJ64"/>
    <mergeCell ref="AH62:AJ62"/>
    <mergeCell ref="AA54:AD54"/>
    <mergeCell ref="F54:M54"/>
    <mergeCell ref="N58:P58"/>
    <mergeCell ref="K61:M61"/>
    <mergeCell ref="AE61:AG61"/>
    <mergeCell ref="AH61:AJ61"/>
    <mergeCell ref="K60:M60"/>
    <mergeCell ref="AK59:AN59"/>
    <mergeCell ref="AK60:AN60"/>
    <mergeCell ref="Y65:AA65"/>
    <mergeCell ref="AB65:AD65"/>
    <mergeCell ref="AE65:AG65"/>
    <mergeCell ref="AH65:AJ65"/>
    <mergeCell ref="AK65:AN65"/>
    <mergeCell ref="AK62:AN62"/>
    <mergeCell ref="AE64:AG64"/>
    <mergeCell ref="AB62:AD62"/>
    <mergeCell ref="AE62:AG62"/>
    <mergeCell ref="AE63:AG63"/>
    <mergeCell ref="AH63:AJ63"/>
    <mergeCell ref="AK63:AN63"/>
    <mergeCell ref="AK64:AN64"/>
    <mergeCell ref="AB64:AD64"/>
    <mergeCell ref="Y63:AA63"/>
    <mergeCell ref="AK61:AN61"/>
    <mergeCell ref="K59:M59"/>
    <mergeCell ref="N59:P59"/>
    <mergeCell ref="Q59:U59"/>
    <mergeCell ref="K62:M62"/>
    <mergeCell ref="N62:P62"/>
    <mergeCell ref="Q60:U60"/>
    <mergeCell ref="V60:X60"/>
    <mergeCell ref="Y60:AA60"/>
    <mergeCell ref="AB60:AD60"/>
    <mergeCell ref="Q62:U62"/>
    <mergeCell ref="V62:X62"/>
    <mergeCell ref="A66:J66"/>
    <mergeCell ref="N66:P66"/>
    <mergeCell ref="Q66:U66"/>
    <mergeCell ref="V66:X66"/>
    <mergeCell ref="Y66:AA66"/>
    <mergeCell ref="AE66:AG66"/>
    <mergeCell ref="A65:J65"/>
    <mergeCell ref="K66:M66"/>
    <mergeCell ref="K65:M65"/>
    <mergeCell ref="N65:P65"/>
    <mergeCell ref="Q65:U65"/>
    <mergeCell ref="V65:X65"/>
    <mergeCell ref="AH66:AJ66"/>
    <mergeCell ref="Y62:AA62"/>
    <mergeCell ref="K64:M64"/>
    <mergeCell ref="N64:P64"/>
    <mergeCell ref="Y64:AA64"/>
    <mergeCell ref="AB66:AD66"/>
    <mergeCell ref="K63:M63"/>
    <mergeCell ref="N63:P63"/>
    <mergeCell ref="AB63:AD63"/>
    <mergeCell ref="Q63:U63"/>
    <mergeCell ref="Q64:U64"/>
    <mergeCell ref="V64:X64"/>
    <mergeCell ref="V63:X63"/>
    <mergeCell ref="A53:AJ53"/>
    <mergeCell ref="Q54:U54"/>
    <mergeCell ref="A60:F60"/>
    <mergeCell ref="A61:F61"/>
    <mergeCell ref="N61:P61"/>
    <mergeCell ref="Q61:U61"/>
    <mergeCell ref="V61:X61"/>
    <mergeCell ref="Y61:AA61"/>
    <mergeCell ref="AB61:AD61"/>
    <mergeCell ref="N54:P54"/>
    <mergeCell ref="A54:E54"/>
    <mergeCell ref="AE59:AG59"/>
    <mergeCell ref="AH59:AJ59"/>
    <mergeCell ref="AE60:AG60"/>
    <mergeCell ref="AH60:AJ60"/>
    <mergeCell ref="Q58:U58"/>
    <mergeCell ref="V58:X58"/>
    <mergeCell ref="Y58:AA58"/>
    <mergeCell ref="AB58:AD58"/>
    <mergeCell ref="AE58:AG58"/>
    <mergeCell ref="V59:X59"/>
    <mergeCell ref="Y59:AA59"/>
    <mergeCell ref="AB59:AD59"/>
    <mergeCell ref="N60:P60"/>
    <mergeCell ref="AK44:AL44"/>
    <mergeCell ref="AK45:AL45"/>
    <mergeCell ref="AK46:AL46"/>
    <mergeCell ref="AK47:AL47"/>
    <mergeCell ref="AK48:AL48"/>
    <mergeCell ref="AK49:AL49"/>
    <mergeCell ref="AK50:AL50"/>
    <mergeCell ref="AK51:AL51"/>
    <mergeCell ref="A51:AJ51"/>
    <mergeCell ref="A50:AJ50"/>
    <mergeCell ref="A47:AJ47"/>
    <mergeCell ref="A48:AJ48"/>
    <mergeCell ref="A49:AJ49"/>
    <mergeCell ref="AM51:AN51"/>
    <mergeCell ref="A2:AH4"/>
    <mergeCell ref="E5:F5"/>
    <mergeCell ref="H5:I5"/>
    <mergeCell ref="J5:K5"/>
    <mergeCell ref="Z5:AB5"/>
    <mergeCell ref="AC5:AF5"/>
    <mergeCell ref="AG5:AI5"/>
    <mergeCell ref="AK40:AL40"/>
    <mergeCell ref="AM40:AN40"/>
    <mergeCell ref="A40:AJ40"/>
    <mergeCell ref="D17:Q17"/>
    <mergeCell ref="U17:AN17"/>
    <mergeCell ref="D20:Q20"/>
    <mergeCell ref="U20:AN20"/>
    <mergeCell ref="D23:Q23"/>
    <mergeCell ref="U23:AN23"/>
    <mergeCell ref="AJ5:AM5"/>
    <mergeCell ref="D7:Q7"/>
    <mergeCell ref="U7:AN7"/>
    <mergeCell ref="D11:Q11"/>
    <mergeCell ref="U11:AN11"/>
    <mergeCell ref="D14:Q14"/>
    <mergeCell ref="AM41:AN41"/>
    <mergeCell ref="U14:AN14"/>
    <mergeCell ref="D26:Q26"/>
    <mergeCell ref="U26:AN26"/>
    <mergeCell ref="D29:Q29"/>
    <mergeCell ref="A32:J32"/>
    <mergeCell ref="K32:Q32"/>
    <mergeCell ref="R32:X32"/>
    <mergeCell ref="Y32:AN32"/>
    <mergeCell ref="AM50:AN50"/>
    <mergeCell ref="AM42:AN42"/>
    <mergeCell ref="AM43:AN43"/>
    <mergeCell ref="AM44:AN44"/>
    <mergeCell ref="AM45:AN45"/>
    <mergeCell ref="AM46:AN46"/>
    <mergeCell ref="AM47:AN47"/>
    <mergeCell ref="AM48:AN48"/>
    <mergeCell ref="AM49:AN49"/>
    <mergeCell ref="A35:F35"/>
    <mergeCell ref="A41:AJ41"/>
    <mergeCell ref="A44:AJ44"/>
    <mergeCell ref="A42:AJ42"/>
    <mergeCell ref="A45:AJ45"/>
    <mergeCell ref="A46:AJ46"/>
    <mergeCell ref="AK41:AL41"/>
    <mergeCell ref="Y38:AN38"/>
    <mergeCell ref="AK42:AL42"/>
    <mergeCell ref="A33:H33"/>
    <mergeCell ref="I33:Q33"/>
    <mergeCell ref="R33:X33"/>
    <mergeCell ref="Y33:AN33"/>
    <mergeCell ref="A34:F34"/>
    <mergeCell ref="G34:K34"/>
    <mergeCell ref="L34:M34"/>
    <mergeCell ref="N34:Q34"/>
    <mergeCell ref="R34:X34"/>
    <mergeCell ref="Y34:AG34"/>
    <mergeCell ref="AH34:AJ34"/>
    <mergeCell ref="AK34:AN34"/>
    <mergeCell ref="V29:AN29"/>
    <mergeCell ref="D8:Q8"/>
    <mergeCell ref="U8:AN8"/>
    <mergeCell ref="AK56:AN58"/>
    <mergeCell ref="AH56:AJ57"/>
    <mergeCell ref="AE56:AG57"/>
    <mergeCell ref="K56:M58"/>
    <mergeCell ref="A55:AN55"/>
    <mergeCell ref="AK43:AL43"/>
    <mergeCell ref="A36:F36"/>
    <mergeCell ref="G36:Q36"/>
    <mergeCell ref="R36:X36"/>
    <mergeCell ref="Y36:AN36"/>
    <mergeCell ref="A37:G37"/>
    <mergeCell ref="H37:Q37"/>
    <mergeCell ref="R37:Z37"/>
    <mergeCell ref="AA37:AN37"/>
    <mergeCell ref="A43:AJ43"/>
    <mergeCell ref="G35:Q35"/>
    <mergeCell ref="R35:X35"/>
    <mergeCell ref="Y35:AN35"/>
    <mergeCell ref="A38:F38"/>
    <mergeCell ref="G38:Q38"/>
    <mergeCell ref="R38:X38"/>
  </mergeCells>
  <phoneticPr fontId="40" type="noConversion"/>
  <printOptions horizontalCentered="1"/>
  <pageMargins left="0.6692913385826772" right="0.47244094488188981" top="0.59055118110236227" bottom="0.31496062992125984" header="0.31496062992125984" footer="0.19685039370078741"/>
  <pageSetup paperSize="9" scale="67" orientation="portrait" r:id="rId1"/>
  <headerFooter>
    <oddHeader>&amp;R&amp;G</oddHeader>
    <oddFooter>&amp;LMHG-PU-F-0019&amp;CPPA-Template ; Rev.: 01/2019&amp;RJ.-U. Liedtke / PU-SD-GA</oddFooter>
  </headerFooter>
  <drawing r:id="rId2"/>
  <legacyDrawingHF r:id="rId3"/>
  <extLst>
    <ext xmlns:mx="http://schemas.microsoft.com/office/mac/excel/2008/main" uri="{64002731-A6B0-56B0-2670-7721B7C09600}">
      <mx:PLV Mode="1"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1">
    <pageSetUpPr fitToPage="1"/>
  </sheetPr>
  <dimension ref="A1:BR156"/>
  <sheetViews>
    <sheetView showGridLines="0" zoomScaleNormal="100" zoomScalePageLayoutView="80" workbookViewId="0">
      <selection activeCell="E42" sqref="E42:I42"/>
    </sheetView>
  </sheetViews>
  <sheetFormatPr baseColWidth="10" defaultColWidth="9.140625" defaultRowHeight="12.75"/>
  <cols>
    <col min="1" max="1" width="0.7109375" style="24" customWidth="1"/>
    <col min="2" max="2" width="3" style="24" customWidth="1"/>
    <col min="3" max="3" width="0.7109375" style="24" customWidth="1"/>
    <col min="4" max="4" width="3" style="24" customWidth="1"/>
    <col min="5" max="5" width="4.85546875" style="24" customWidth="1"/>
    <col min="6" max="6" width="6.7109375" style="24" customWidth="1"/>
    <col min="7" max="7" width="8.28515625" style="24" customWidth="1"/>
    <col min="8" max="9" width="3.42578125" style="24" customWidth="1"/>
    <col min="10" max="11" width="4.28515625" style="24" customWidth="1"/>
    <col min="12" max="12" width="3.42578125" style="24" customWidth="1"/>
    <col min="13" max="13" width="7.42578125" style="24" customWidth="1"/>
    <col min="14" max="14" width="4.7109375" style="24" customWidth="1"/>
    <col min="15" max="15" width="1.7109375" style="24" customWidth="1"/>
    <col min="16" max="17" width="3.42578125" style="24" customWidth="1"/>
    <col min="18" max="18" width="0.7109375" style="24" customWidth="1"/>
    <col min="19" max="19" width="3" style="24" customWidth="1"/>
    <col min="20" max="20" width="0.7109375" style="24" customWidth="1"/>
    <col min="21" max="21" width="3.7109375" style="24" customWidth="1"/>
    <col min="22" max="22" width="1.7109375" style="24" customWidth="1"/>
    <col min="23" max="23" width="3.140625" style="24" customWidth="1"/>
    <col min="24" max="24" width="4.7109375" style="24" customWidth="1"/>
    <col min="25" max="25" width="4.42578125" style="24" customWidth="1"/>
    <col min="26" max="26" width="3.7109375" style="24" customWidth="1"/>
    <col min="27" max="31" width="3.42578125" style="24" customWidth="1"/>
    <col min="32" max="32" width="2.42578125" style="24" customWidth="1"/>
    <col min="33" max="33" width="2.7109375" style="24" customWidth="1"/>
    <col min="34" max="34" width="3.7109375" style="24" customWidth="1"/>
    <col min="35" max="35" width="3.28515625" style="24" customWidth="1"/>
    <col min="36" max="37" width="3.42578125" style="24" customWidth="1"/>
    <col min="38" max="39" width="1.42578125" style="24" customWidth="1"/>
    <col min="40" max="40" width="3.42578125" style="24" customWidth="1"/>
    <col min="41" max="16384" width="9.140625" style="24"/>
  </cols>
  <sheetData>
    <row r="1" spans="1:70" ht="9" customHeight="1"/>
    <row r="2" spans="1:70" ht="12.75" customHeight="1">
      <c r="A2" s="912" t="str">
        <f>VLOOKUP("prozessbezogene und sonstige dokumente",Translations!$A:$T,MATCH(Cover!DR19,Translations!A2:P2,0),0)</f>
        <v>Process-related and other documents</v>
      </c>
      <c r="B2" s="912"/>
      <c r="C2" s="912"/>
      <c r="D2" s="912"/>
      <c r="E2" s="912"/>
      <c r="F2" s="912"/>
      <c r="G2" s="912"/>
      <c r="H2" s="912"/>
      <c r="I2" s="912"/>
      <c r="J2" s="912"/>
      <c r="K2" s="912"/>
      <c r="L2" s="912"/>
      <c r="M2" s="912"/>
      <c r="N2" s="912"/>
      <c r="O2" s="912"/>
      <c r="P2" s="912"/>
      <c r="Q2" s="912"/>
      <c r="R2" s="912"/>
      <c r="S2" s="912"/>
      <c r="T2" s="912"/>
      <c r="U2" s="912"/>
      <c r="V2" s="912"/>
      <c r="W2" s="912"/>
      <c r="X2" s="912"/>
      <c r="Y2" s="912"/>
      <c r="Z2" s="912"/>
      <c r="AA2" s="912"/>
      <c r="AB2" s="912"/>
      <c r="AC2" s="912"/>
      <c r="AD2" s="912"/>
      <c r="AE2" s="912"/>
      <c r="AF2" s="912"/>
      <c r="AG2" s="912"/>
      <c r="AH2" s="912"/>
    </row>
    <row r="3" spans="1:70" ht="12.75" customHeight="1">
      <c r="A3" s="912"/>
      <c r="B3" s="912"/>
      <c r="C3" s="912"/>
      <c r="D3" s="912"/>
      <c r="E3" s="912"/>
      <c r="F3" s="912"/>
      <c r="G3" s="912"/>
      <c r="H3" s="912"/>
      <c r="I3" s="912"/>
      <c r="J3" s="912"/>
      <c r="K3" s="912"/>
      <c r="L3" s="912"/>
      <c r="M3" s="912"/>
      <c r="N3" s="912"/>
      <c r="O3" s="912"/>
      <c r="P3" s="912"/>
      <c r="Q3" s="912"/>
      <c r="R3" s="912"/>
      <c r="S3" s="912"/>
      <c r="T3" s="912"/>
      <c r="U3" s="912"/>
      <c r="V3" s="912"/>
      <c r="W3" s="912"/>
      <c r="X3" s="912"/>
      <c r="Y3" s="912"/>
      <c r="Z3" s="912"/>
      <c r="AA3" s="912"/>
      <c r="AB3" s="912"/>
      <c r="AC3" s="912"/>
      <c r="AD3" s="912"/>
      <c r="AE3" s="912"/>
      <c r="AF3" s="912"/>
      <c r="AG3" s="912"/>
      <c r="AH3" s="912"/>
    </row>
    <row r="4" spans="1:70" ht="10.5" customHeight="1">
      <c r="A4" s="912"/>
      <c r="B4" s="912"/>
      <c r="C4" s="912"/>
      <c r="D4" s="912"/>
      <c r="E4" s="912"/>
      <c r="F4" s="912"/>
      <c r="G4" s="912"/>
      <c r="H4" s="912"/>
      <c r="I4" s="912"/>
      <c r="J4" s="912"/>
      <c r="K4" s="912"/>
      <c r="L4" s="912"/>
      <c r="M4" s="912"/>
      <c r="N4" s="912"/>
      <c r="O4" s="912"/>
      <c r="P4" s="912"/>
      <c r="Q4" s="912"/>
      <c r="R4" s="912"/>
      <c r="S4" s="912"/>
      <c r="T4" s="912"/>
      <c r="U4" s="912"/>
      <c r="V4" s="912"/>
      <c r="W4" s="912"/>
      <c r="X4" s="912"/>
      <c r="Y4" s="912"/>
      <c r="Z4" s="912"/>
      <c r="AA4" s="912"/>
      <c r="AB4" s="912"/>
      <c r="AC4" s="912"/>
      <c r="AD4" s="912"/>
      <c r="AE4" s="912"/>
      <c r="AF4" s="912"/>
      <c r="AG4" s="912"/>
      <c r="AH4" s="912"/>
    </row>
    <row r="5" spans="1:70" ht="15" customHeight="1">
      <c r="E5" s="1186" t="str">
        <f>VLOOKUP("blatt",Translations!$A:$T,MATCH(Cover!DR19,Translations!A2:P2,0),0)</f>
        <v>Page</v>
      </c>
      <c r="F5" s="1186"/>
      <c r="G5" s="261"/>
      <c r="H5" s="1186" t="str">
        <f>VLOOKUP("vonvv",Translations!$A:$T,MATCH(Cover!DR19,Translations!A2:P2,0),0)</f>
        <v>of</v>
      </c>
      <c r="I5" s="1186"/>
      <c r="J5" s="1151"/>
      <c r="K5" s="1151"/>
      <c r="Y5" s="1186" t="str">
        <f>VLOOKUP("standyy",Translations!$A:$T,MATCH(Cover!DR19,Translations!A2:P2,0),0)</f>
        <v>Status:</v>
      </c>
      <c r="Z5" s="1186"/>
      <c r="AA5" s="1186"/>
      <c r="AB5" s="1151"/>
      <c r="AC5" s="1151"/>
      <c r="AD5" s="1151"/>
      <c r="AE5" s="1151"/>
      <c r="AF5" s="1186" t="str">
        <f>VLOOKUP("ydatumf",Translations!$A:$T,MATCH(Cover!DR19,Translations!A2:P2,0),0)</f>
        <v>/ Date:</v>
      </c>
      <c r="AG5" s="1186"/>
      <c r="AH5" s="1186"/>
      <c r="AI5" s="1150"/>
      <c r="AJ5" s="1150"/>
      <c r="AK5" s="1150"/>
      <c r="AL5" s="1150"/>
      <c r="AM5" s="1150"/>
    </row>
    <row r="6" spans="1:70" ht="4.5" customHeight="1" thickBot="1"/>
    <row r="7" spans="1:70" ht="3" customHeight="1">
      <c r="A7" s="279"/>
      <c r="B7" s="280"/>
      <c r="C7" s="280"/>
      <c r="D7" s="1148"/>
      <c r="E7" s="1148"/>
      <c r="F7" s="1148"/>
      <c r="G7" s="1148"/>
      <c r="H7" s="1148"/>
      <c r="I7" s="1148"/>
      <c r="J7" s="1148"/>
      <c r="K7" s="1148"/>
      <c r="L7" s="1148"/>
      <c r="M7" s="1148"/>
      <c r="N7" s="1148"/>
      <c r="O7" s="1148"/>
      <c r="P7" s="1148"/>
      <c r="Q7" s="1149"/>
      <c r="R7" s="279"/>
      <c r="S7" s="280"/>
      <c r="T7" s="280"/>
      <c r="U7" s="1148"/>
      <c r="V7" s="1148"/>
      <c r="W7" s="1148"/>
      <c r="X7" s="1148"/>
      <c r="Y7" s="1148"/>
      <c r="Z7" s="1148"/>
      <c r="AA7" s="1148"/>
      <c r="AB7" s="1148"/>
      <c r="AC7" s="1148"/>
      <c r="AD7" s="1148"/>
      <c r="AE7" s="1148"/>
      <c r="AF7" s="1148"/>
      <c r="AG7" s="1148"/>
      <c r="AH7" s="1148"/>
      <c r="AI7" s="1148"/>
      <c r="AJ7" s="1148"/>
      <c r="AK7" s="1148"/>
      <c r="AL7" s="1148"/>
      <c r="AM7" s="1148"/>
      <c r="AN7" s="1149"/>
      <c r="AO7" s="113"/>
      <c r="AP7" s="113"/>
      <c r="AQ7" s="113"/>
      <c r="AR7" s="113"/>
      <c r="AS7" s="113"/>
      <c r="AT7" s="113"/>
      <c r="AU7" s="113"/>
      <c r="AV7" s="113"/>
      <c r="AW7" s="113"/>
      <c r="AX7" s="113"/>
      <c r="AY7" s="113"/>
      <c r="AZ7" s="113"/>
      <c r="BA7" s="113"/>
      <c r="BB7" s="113"/>
      <c r="BC7" s="113"/>
      <c r="BD7" s="113"/>
      <c r="BE7" s="113"/>
      <c r="BF7" s="113"/>
      <c r="BG7" s="113"/>
      <c r="BH7" s="113"/>
      <c r="BI7" s="113"/>
      <c r="BJ7" s="113"/>
      <c r="BK7" s="113"/>
      <c r="BL7" s="113"/>
      <c r="BM7" s="113"/>
      <c r="BN7" s="113"/>
      <c r="BO7" s="113"/>
      <c r="BP7" s="113"/>
      <c r="BQ7" s="113"/>
      <c r="BR7" s="113"/>
    </row>
    <row r="8" spans="1:70" ht="15.75" customHeight="1">
      <c r="A8" s="281"/>
      <c r="B8" s="497"/>
      <c r="C8" s="282"/>
      <c r="D8" s="1266" t="str">
        <f>Cover!AB23</f>
        <v>8 Software test report</v>
      </c>
      <c r="E8" s="1266"/>
      <c r="F8" s="1266"/>
      <c r="G8" s="1266"/>
      <c r="H8" s="1266"/>
      <c r="I8" s="1266"/>
      <c r="J8" s="1266"/>
      <c r="K8" s="1266"/>
      <c r="L8" s="1266"/>
      <c r="M8" s="1266"/>
      <c r="N8" s="1266"/>
      <c r="O8" s="1266"/>
      <c r="P8" s="1266"/>
      <c r="Q8" s="1267"/>
      <c r="R8" s="281"/>
      <c r="S8" s="497"/>
      <c r="T8" s="282"/>
      <c r="U8" s="1266" t="str">
        <f>Cover!BU23</f>
        <v>16 Tooling list</v>
      </c>
      <c r="V8" s="1266"/>
      <c r="W8" s="1266"/>
      <c r="X8" s="1266"/>
      <c r="Y8" s="1266"/>
      <c r="Z8" s="1266"/>
      <c r="AA8" s="1266"/>
      <c r="AB8" s="1266"/>
      <c r="AC8" s="1266"/>
      <c r="AD8" s="1266"/>
      <c r="AE8" s="1266"/>
      <c r="AF8" s="1266"/>
      <c r="AG8" s="1266"/>
      <c r="AH8" s="1266"/>
      <c r="AI8" s="1266"/>
      <c r="AJ8" s="1266"/>
      <c r="AK8" s="1266"/>
      <c r="AL8" s="1266"/>
      <c r="AM8" s="1266"/>
      <c r="AN8" s="1267"/>
      <c r="AO8" s="113"/>
      <c r="AP8" s="113"/>
      <c r="AQ8" s="113"/>
      <c r="AR8" s="113"/>
      <c r="AS8" s="113"/>
      <c r="AT8" s="113"/>
      <c r="AU8" s="113"/>
      <c r="AV8" s="113"/>
      <c r="AW8" s="113"/>
      <c r="AX8" s="113"/>
      <c r="AY8" s="113"/>
      <c r="AZ8" s="113"/>
      <c r="BA8" s="113"/>
      <c r="BB8" s="113"/>
      <c r="BC8" s="113"/>
      <c r="BD8" s="113"/>
      <c r="BE8" s="113"/>
      <c r="BF8" s="113"/>
      <c r="BG8" s="113"/>
      <c r="BH8" s="113"/>
      <c r="BI8" s="113"/>
      <c r="BJ8" s="113"/>
      <c r="BK8" s="113"/>
      <c r="BL8" s="113"/>
      <c r="BM8" s="113"/>
      <c r="BN8" s="113"/>
      <c r="BO8" s="113"/>
      <c r="BP8" s="113"/>
      <c r="BQ8" s="113"/>
      <c r="BR8" s="113"/>
    </row>
    <row r="9" spans="1:70" ht="3" customHeight="1">
      <c r="A9" s="281"/>
      <c r="B9" s="282"/>
      <c r="C9" s="282"/>
      <c r="D9" s="1268"/>
      <c r="E9" s="1268"/>
      <c r="F9" s="1268"/>
      <c r="G9" s="1268"/>
      <c r="H9" s="1268"/>
      <c r="I9" s="1268"/>
      <c r="J9" s="1268"/>
      <c r="K9" s="1268"/>
      <c r="L9" s="1268"/>
      <c r="M9" s="1268"/>
      <c r="N9" s="1268"/>
      <c r="O9" s="1268"/>
      <c r="P9" s="1268"/>
      <c r="Q9" s="1269"/>
      <c r="R9" s="281"/>
      <c r="S9" s="282"/>
      <c r="T9" s="282"/>
      <c r="U9" s="1268"/>
      <c r="V9" s="1268"/>
      <c r="W9" s="1268"/>
      <c r="X9" s="1268"/>
      <c r="Y9" s="1268"/>
      <c r="Z9" s="1268"/>
      <c r="AA9" s="1268"/>
      <c r="AB9" s="1268"/>
      <c r="AC9" s="1268"/>
      <c r="AD9" s="1268"/>
      <c r="AE9" s="1268"/>
      <c r="AF9" s="1268"/>
      <c r="AG9" s="1268"/>
      <c r="AH9" s="1268"/>
      <c r="AI9" s="1268"/>
      <c r="AJ9" s="1268"/>
      <c r="AK9" s="1268"/>
      <c r="AL9" s="1268"/>
      <c r="AM9" s="1268"/>
      <c r="AN9" s="1269"/>
      <c r="AO9" s="113"/>
      <c r="AP9" s="113"/>
      <c r="AQ9" s="113"/>
      <c r="AR9" s="113"/>
      <c r="AS9" s="113"/>
      <c r="AT9" s="113"/>
      <c r="AU9" s="113"/>
      <c r="AV9" s="113"/>
      <c r="AW9" s="113"/>
      <c r="AX9" s="113"/>
      <c r="AY9" s="113"/>
      <c r="AZ9" s="113"/>
      <c r="BA9" s="113"/>
      <c r="BB9" s="113"/>
      <c r="BC9" s="113"/>
      <c r="BD9" s="113"/>
      <c r="BE9" s="113"/>
      <c r="BF9" s="113"/>
      <c r="BG9" s="113"/>
      <c r="BH9" s="113"/>
      <c r="BI9" s="113"/>
      <c r="BJ9" s="113"/>
      <c r="BK9" s="113"/>
      <c r="BL9" s="113"/>
      <c r="BM9" s="113"/>
      <c r="BN9" s="113"/>
      <c r="BO9" s="113"/>
      <c r="BP9" s="113"/>
      <c r="BQ9" s="113"/>
      <c r="BR9" s="113"/>
    </row>
    <row r="10" spans="1:70" ht="3" customHeight="1">
      <c r="A10" s="281"/>
      <c r="B10" s="282"/>
      <c r="C10" s="282"/>
      <c r="D10" s="283"/>
      <c r="E10" s="283"/>
      <c r="F10" s="283"/>
      <c r="G10" s="283"/>
      <c r="H10" s="283"/>
      <c r="I10" s="283"/>
      <c r="J10" s="283"/>
      <c r="K10" s="283"/>
      <c r="L10" s="283"/>
      <c r="M10" s="283"/>
      <c r="N10" s="283"/>
      <c r="O10" s="283"/>
      <c r="P10" s="283"/>
      <c r="Q10" s="284"/>
      <c r="R10" s="281"/>
      <c r="S10" s="282"/>
      <c r="T10" s="282"/>
      <c r="U10" s="283"/>
      <c r="V10" s="283"/>
      <c r="W10" s="283"/>
      <c r="X10" s="283"/>
      <c r="Y10" s="283"/>
      <c r="Z10" s="283"/>
      <c r="AA10" s="283"/>
      <c r="AB10" s="283"/>
      <c r="AC10" s="283"/>
      <c r="AD10" s="283"/>
      <c r="AE10" s="283"/>
      <c r="AF10" s="283"/>
      <c r="AG10" s="283"/>
      <c r="AH10" s="283"/>
      <c r="AI10" s="283"/>
      <c r="AJ10" s="283"/>
      <c r="AK10" s="283"/>
      <c r="AL10" s="283"/>
      <c r="AM10" s="283"/>
      <c r="AN10" s="284"/>
      <c r="AO10" s="113"/>
      <c r="AP10" s="113"/>
      <c r="AQ10" s="113"/>
      <c r="AR10" s="113"/>
      <c r="AS10" s="113"/>
      <c r="AT10" s="113"/>
      <c r="AU10" s="113"/>
      <c r="AV10" s="113"/>
      <c r="AW10" s="113"/>
      <c r="AX10" s="113"/>
      <c r="AY10" s="113"/>
      <c r="AZ10" s="113"/>
      <c r="BA10" s="113"/>
      <c r="BB10" s="113"/>
      <c r="BC10" s="113"/>
      <c r="BD10" s="113"/>
      <c r="BE10" s="113"/>
      <c r="BF10" s="113"/>
      <c r="BG10" s="113"/>
      <c r="BH10" s="113"/>
      <c r="BI10" s="113"/>
      <c r="BJ10" s="113"/>
      <c r="BK10" s="113"/>
      <c r="BL10" s="113"/>
      <c r="BM10" s="113"/>
      <c r="BN10" s="113"/>
      <c r="BO10" s="113"/>
      <c r="BP10" s="113"/>
      <c r="BQ10" s="113"/>
      <c r="BR10" s="113"/>
    </row>
    <row r="11" spans="1:70" ht="15.75" customHeight="1">
      <c r="A11" s="281"/>
      <c r="B11" s="497"/>
      <c r="C11" s="282"/>
      <c r="D11" s="1266" t="str">
        <f>Cover!AB25</f>
        <v>9 Process – FMEA</v>
      </c>
      <c r="E11" s="1266"/>
      <c r="F11" s="1266"/>
      <c r="G11" s="1266"/>
      <c r="H11" s="1266"/>
      <c r="I11" s="1266"/>
      <c r="J11" s="1266"/>
      <c r="K11" s="1266"/>
      <c r="L11" s="1266"/>
      <c r="M11" s="1266"/>
      <c r="N11" s="1266"/>
      <c r="O11" s="1266"/>
      <c r="P11" s="1266"/>
      <c r="Q11" s="1267"/>
      <c r="R11" s="281"/>
      <c r="S11" s="497"/>
      <c r="T11" s="282"/>
      <c r="U11" s="1266" t="str">
        <f>Cover!BU25</f>
        <v>17 Confirmation of agreed capacity</v>
      </c>
      <c r="V11" s="1266"/>
      <c r="W11" s="1266"/>
      <c r="X11" s="1266"/>
      <c r="Y11" s="1266"/>
      <c r="Z11" s="1266"/>
      <c r="AA11" s="1266"/>
      <c r="AB11" s="1266"/>
      <c r="AC11" s="1266"/>
      <c r="AD11" s="1266"/>
      <c r="AE11" s="1266"/>
      <c r="AF11" s="1266"/>
      <c r="AG11" s="1266"/>
      <c r="AH11" s="1266"/>
      <c r="AI11" s="1266"/>
      <c r="AJ11" s="1266"/>
      <c r="AK11" s="1266"/>
      <c r="AL11" s="1266"/>
      <c r="AM11" s="1266"/>
      <c r="AN11" s="1267"/>
      <c r="AO11" s="113"/>
      <c r="AP11" s="113"/>
      <c r="AQ11" s="113"/>
      <c r="AR11" s="113"/>
      <c r="AS11" s="113"/>
      <c r="AT11" s="113"/>
      <c r="AU11" s="113"/>
      <c r="AV11" s="113"/>
      <c r="AW11" s="113"/>
      <c r="AX11" s="113"/>
      <c r="AY11" s="113"/>
      <c r="AZ11" s="113"/>
      <c r="BA11" s="113"/>
      <c r="BB11" s="113"/>
      <c r="BC11" s="113"/>
      <c r="BD11" s="113"/>
      <c r="BE11" s="113"/>
      <c r="BF11" s="113"/>
      <c r="BG11" s="113"/>
      <c r="BH11" s="113"/>
      <c r="BI11" s="113"/>
      <c r="BJ11" s="113"/>
      <c r="BK11" s="113"/>
      <c r="BL11" s="113"/>
      <c r="BM11" s="113"/>
      <c r="BN11" s="113"/>
      <c r="BO11" s="113"/>
      <c r="BP11" s="113"/>
      <c r="BQ11" s="113"/>
      <c r="BR11" s="113"/>
    </row>
    <row r="12" spans="1:70" ht="3" customHeight="1">
      <c r="A12" s="281"/>
      <c r="B12" s="282"/>
      <c r="C12" s="282"/>
      <c r="D12" s="283"/>
      <c r="E12" s="283"/>
      <c r="F12" s="283"/>
      <c r="G12" s="283"/>
      <c r="H12" s="283"/>
      <c r="I12" s="283"/>
      <c r="J12" s="283"/>
      <c r="K12" s="283"/>
      <c r="L12" s="283"/>
      <c r="M12" s="283"/>
      <c r="N12" s="283"/>
      <c r="O12" s="283"/>
      <c r="P12" s="283"/>
      <c r="Q12" s="284"/>
      <c r="R12" s="281"/>
      <c r="S12" s="282"/>
      <c r="T12" s="282"/>
      <c r="U12" s="283"/>
      <c r="V12" s="283"/>
      <c r="W12" s="283"/>
      <c r="X12" s="283"/>
      <c r="Y12" s="283"/>
      <c r="Z12" s="283"/>
      <c r="AA12" s="283"/>
      <c r="AB12" s="283"/>
      <c r="AC12" s="283"/>
      <c r="AD12" s="283"/>
      <c r="AE12" s="283"/>
      <c r="AF12" s="283"/>
      <c r="AG12" s="283"/>
      <c r="AH12" s="283"/>
      <c r="AI12" s="283"/>
      <c r="AJ12" s="283"/>
      <c r="AK12" s="283"/>
      <c r="AL12" s="283"/>
      <c r="AM12" s="283"/>
      <c r="AN12" s="284"/>
      <c r="AO12" s="113"/>
      <c r="AP12" s="113"/>
      <c r="AQ12" s="113"/>
      <c r="AR12" s="113"/>
      <c r="AS12" s="113"/>
      <c r="AT12" s="113"/>
      <c r="AU12" s="113"/>
      <c r="AV12" s="113"/>
      <c r="AW12" s="113"/>
      <c r="AX12" s="113"/>
      <c r="AY12" s="113"/>
      <c r="AZ12" s="113"/>
      <c r="BA12" s="113"/>
      <c r="BB12" s="113"/>
      <c r="BC12" s="113"/>
      <c r="BD12" s="113"/>
      <c r="BE12" s="113"/>
      <c r="BF12" s="113"/>
      <c r="BG12" s="113"/>
      <c r="BH12" s="113"/>
      <c r="BI12" s="113"/>
      <c r="BJ12" s="113"/>
      <c r="BK12" s="113"/>
      <c r="BL12" s="113"/>
      <c r="BM12" s="113"/>
      <c r="BN12" s="113"/>
      <c r="BO12" s="113"/>
      <c r="BP12" s="113"/>
      <c r="BQ12" s="113"/>
      <c r="BR12" s="113"/>
    </row>
    <row r="13" spans="1:70" ht="3" customHeight="1">
      <c r="A13" s="281"/>
      <c r="B13" s="282"/>
      <c r="C13" s="282"/>
      <c r="D13" s="283"/>
      <c r="E13" s="283"/>
      <c r="F13" s="283"/>
      <c r="G13" s="283"/>
      <c r="H13" s="283"/>
      <c r="I13" s="283"/>
      <c r="J13" s="283"/>
      <c r="K13" s="283"/>
      <c r="L13" s="283"/>
      <c r="M13" s="283"/>
      <c r="N13" s="283"/>
      <c r="O13" s="283"/>
      <c r="P13" s="283"/>
      <c r="Q13" s="284"/>
      <c r="R13" s="281"/>
      <c r="S13" s="282"/>
      <c r="T13" s="282"/>
      <c r="U13" s="283"/>
      <c r="V13" s="283"/>
      <c r="W13" s="283"/>
      <c r="X13" s="283"/>
      <c r="Y13" s="283"/>
      <c r="Z13" s="283"/>
      <c r="AA13" s="283"/>
      <c r="AB13" s="283"/>
      <c r="AC13" s="283"/>
      <c r="AD13" s="283"/>
      <c r="AE13" s="283"/>
      <c r="AF13" s="283"/>
      <c r="AG13" s="283"/>
      <c r="AH13" s="283"/>
      <c r="AI13" s="283"/>
      <c r="AJ13" s="283"/>
      <c r="AK13" s="283"/>
      <c r="AL13" s="283"/>
      <c r="AM13" s="283"/>
      <c r="AN13" s="284"/>
      <c r="AO13" s="113"/>
      <c r="AP13" s="113"/>
      <c r="AQ13" s="113"/>
      <c r="AR13" s="113"/>
      <c r="AS13" s="113"/>
      <c r="AT13" s="113"/>
      <c r="AU13" s="113"/>
      <c r="AV13" s="113"/>
      <c r="AW13" s="113"/>
      <c r="AX13" s="113"/>
      <c r="AY13" s="113"/>
      <c r="AZ13" s="113"/>
      <c r="BA13" s="113"/>
      <c r="BB13" s="113"/>
      <c r="BC13" s="113"/>
      <c r="BD13" s="113"/>
      <c r="BE13" s="113"/>
      <c r="BF13" s="113"/>
      <c r="BG13" s="113"/>
      <c r="BH13" s="113"/>
      <c r="BI13" s="113"/>
      <c r="BJ13" s="113"/>
      <c r="BK13" s="113"/>
      <c r="BL13" s="113"/>
      <c r="BM13" s="113"/>
      <c r="BN13" s="113"/>
      <c r="BO13" s="113"/>
      <c r="BP13" s="113"/>
      <c r="BQ13" s="113"/>
      <c r="BR13" s="113"/>
    </row>
    <row r="14" spans="1:70" ht="15.75" customHeight="1">
      <c r="A14" s="281"/>
      <c r="B14" s="497"/>
      <c r="C14" s="282"/>
      <c r="D14" s="1266" t="str">
        <f>Cover!AB27</f>
        <v>10 Process flow chart</v>
      </c>
      <c r="E14" s="1266"/>
      <c r="F14" s="1266"/>
      <c r="G14" s="1266"/>
      <c r="H14" s="1266"/>
      <c r="I14" s="1266"/>
      <c r="J14" s="1266"/>
      <c r="K14" s="1266"/>
      <c r="L14" s="1266"/>
      <c r="M14" s="1266"/>
      <c r="N14" s="1266"/>
      <c r="O14" s="1266"/>
      <c r="P14" s="1266"/>
      <c r="Q14" s="1267"/>
      <c r="R14" s="281"/>
      <c r="S14" s="497"/>
      <c r="T14" s="282"/>
      <c r="U14" s="1266" t="str">
        <f>Cover!BU27</f>
        <v>18 Written self-assessment</v>
      </c>
      <c r="V14" s="1266"/>
      <c r="W14" s="1266"/>
      <c r="X14" s="1266"/>
      <c r="Y14" s="1266"/>
      <c r="Z14" s="1266"/>
      <c r="AA14" s="1266"/>
      <c r="AB14" s="1266"/>
      <c r="AC14" s="1266"/>
      <c r="AD14" s="1266"/>
      <c r="AE14" s="1266"/>
      <c r="AF14" s="1266"/>
      <c r="AG14" s="1266"/>
      <c r="AH14" s="1266"/>
      <c r="AI14" s="1266"/>
      <c r="AJ14" s="1266"/>
      <c r="AK14" s="1266"/>
      <c r="AL14" s="1266"/>
      <c r="AM14" s="1266"/>
      <c r="AN14" s="1267"/>
      <c r="AO14" s="113"/>
      <c r="AP14" s="113"/>
      <c r="AQ14" s="113"/>
      <c r="AR14" s="113"/>
      <c r="AS14" s="113"/>
      <c r="AT14" s="113"/>
      <c r="AU14" s="113"/>
      <c r="AV14" s="113"/>
      <c r="AW14" s="113"/>
      <c r="AX14" s="113"/>
      <c r="AY14" s="113"/>
      <c r="AZ14" s="113"/>
      <c r="BA14" s="113"/>
      <c r="BB14" s="113"/>
      <c r="BC14" s="113"/>
      <c r="BD14" s="113"/>
      <c r="BE14" s="113"/>
      <c r="BF14" s="113"/>
      <c r="BG14" s="113"/>
      <c r="BH14" s="113"/>
      <c r="BI14" s="113"/>
      <c r="BJ14" s="113"/>
      <c r="BK14" s="113"/>
      <c r="BL14" s="113"/>
      <c r="BM14" s="113"/>
      <c r="BN14" s="113"/>
      <c r="BO14" s="113"/>
      <c r="BP14" s="113"/>
      <c r="BQ14" s="113"/>
      <c r="BR14" s="113"/>
    </row>
    <row r="15" spans="1:70" ht="3" customHeight="1">
      <c r="A15" s="281"/>
      <c r="B15" s="282"/>
      <c r="C15" s="282"/>
      <c r="D15" s="283"/>
      <c r="E15" s="283"/>
      <c r="F15" s="283"/>
      <c r="G15" s="283"/>
      <c r="H15" s="283"/>
      <c r="I15" s="283"/>
      <c r="J15" s="283"/>
      <c r="K15" s="283"/>
      <c r="L15" s="283"/>
      <c r="M15" s="283"/>
      <c r="N15" s="283"/>
      <c r="O15" s="283"/>
      <c r="P15" s="283"/>
      <c r="Q15" s="284"/>
      <c r="R15" s="281"/>
      <c r="S15" s="282"/>
      <c r="T15" s="282"/>
      <c r="U15" s="283"/>
      <c r="V15" s="283"/>
      <c r="W15" s="283"/>
      <c r="X15" s="283"/>
      <c r="Y15" s="283"/>
      <c r="Z15" s="283"/>
      <c r="AA15" s="283"/>
      <c r="AB15" s="283"/>
      <c r="AC15" s="283"/>
      <c r="AD15" s="283"/>
      <c r="AE15" s="283"/>
      <c r="AF15" s="283"/>
      <c r="AG15" s="283"/>
      <c r="AH15" s="283"/>
      <c r="AI15" s="283"/>
      <c r="AJ15" s="283"/>
      <c r="AK15" s="283"/>
      <c r="AL15" s="283"/>
      <c r="AM15" s="283"/>
      <c r="AN15" s="284"/>
      <c r="AO15" s="113"/>
      <c r="AP15" s="113"/>
      <c r="AQ15" s="113"/>
      <c r="AR15" s="113"/>
      <c r="AS15" s="113"/>
      <c r="AT15" s="113"/>
      <c r="AU15" s="113"/>
      <c r="AV15" s="113"/>
      <c r="AW15" s="113"/>
      <c r="AX15" s="113"/>
      <c r="AY15" s="113"/>
      <c r="AZ15" s="113"/>
      <c r="BA15" s="113"/>
      <c r="BB15" s="113"/>
      <c r="BC15" s="113"/>
      <c r="BD15" s="113"/>
      <c r="BE15" s="113"/>
      <c r="BF15" s="113"/>
      <c r="BG15" s="113"/>
      <c r="BH15" s="113"/>
      <c r="BI15" s="113"/>
      <c r="BJ15" s="113"/>
      <c r="BK15" s="113"/>
      <c r="BL15" s="113"/>
      <c r="BM15" s="113"/>
      <c r="BN15" s="113"/>
      <c r="BO15" s="113"/>
      <c r="BP15" s="113"/>
      <c r="BQ15" s="113"/>
      <c r="BR15" s="113"/>
    </row>
    <row r="16" spans="1:70" ht="3" customHeight="1">
      <c r="A16" s="281"/>
      <c r="B16" s="282"/>
      <c r="C16" s="282"/>
      <c r="D16" s="283"/>
      <c r="E16" s="283"/>
      <c r="F16" s="283"/>
      <c r="G16" s="283"/>
      <c r="H16" s="283"/>
      <c r="I16" s="283"/>
      <c r="J16" s="283"/>
      <c r="K16" s="283"/>
      <c r="L16" s="283"/>
      <c r="M16" s="283"/>
      <c r="N16" s="283"/>
      <c r="O16" s="283"/>
      <c r="P16" s="283"/>
      <c r="Q16" s="284"/>
      <c r="R16" s="281"/>
      <c r="S16" s="282"/>
      <c r="T16" s="282"/>
      <c r="U16" s="283"/>
      <c r="V16" s="283"/>
      <c r="W16" s="283"/>
      <c r="X16" s="283"/>
      <c r="Y16" s="283"/>
      <c r="Z16" s="283"/>
      <c r="AA16" s="283"/>
      <c r="AB16" s="283"/>
      <c r="AC16" s="283"/>
      <c r="AD16" s="283"/>
      <c r="AE16" s="283"/>
      <c r="AF16" s="283"/>
      <c r="AG16" s="283"/>
      <c r="AH16" s="283"/>
      <c r="AI16" s="283"/>
      <c r="AJ16" s="283"/>
      <c r="AK16" s="283"/>
      <c r="AL16" s="283"/>
      <c r="AM16" s="283"/>
      <c r="AN16" s="284"/>
      <c r="AO16" s="113"/>
      <c r="AP16" s="113"/>
      <c r="AQ16" s="113"/>
      <c r="AR16" s="113"/>
      <c r="AS16" s="113"/>
      <c r="AT16" s="113"/>
      <c r="AU16" s="113"/>
      <c r="AV16" s="113"/>
      <c r="AW16" s="113"/>
      <c r="AX16" s="113"/>
      <c r="AY16" s="113"/>
      <c r="AZ16" s="113"/>
      <c r="BA16" s="113"/>
      <c r="BB16" s="113"/>
      <c r="BC16" s="113"/>
      <c r="BD16" s="113"/>
      <c r="BE16" s="113"/>
      <c r="BF16" s="113"/>
      <c r="BG16" s="113"/>
      <c r="BH16" s="113"/>
      <c r="BI16" s="113"/>
      <c r="BJ16" s="113"/>
      <c r="BK16" s="113"/>
      <c r="BL16" s="113"/>
      <c r="BM16" s="113"/>
      <c r="BN16" s="113"/>
      <c r="BO16" s="113"/>
      <c r="BP16" s="113"/>
      <c r="BQ16" s="113"/>
      <c r="BR16" s="113"/>
    </row>
    <row r="17" spans="1:70" ht="15.75" customHeight="1">
      <c r="A17" s="281"/>
      <c r="B17" s="497"/>
      <c r="C17" s="282"/>
      <c r="D17" s="1266" t="str">
        <f>Cover!AB29</f>
        <v>11 Control plan</v>
      </c>
      <c r="E17" s="1266"/>
      <c r="F17" s="1266"/>
      <c r="G17" s="1266"/>
      <c r="H17" s="1266"/>
      <c r="I17" s="1266"/>
      <c r="J17" s="1266"/>
      <c r="K17" s="1266"/>
      <c r="L17" s="1266"/>
      <c r="M17" s="1266"/>
      <c r="N17" s="1266"/>
      <c r="O17" s="1266"/>
      <c r="P17" s="1266"/>
      <c r="Q17" s="1267"/>
      <c r="R17" s="281"/>
      <c r="S17" s="497"/>
      <c r="T17" s="282"/>
      <c r="U17" s="1266" t="str">
        <f>Cover!BU29</f>
        <v>19 Part history</v>
      </c>
      <c r="V17" s="1266"/>
      <c r="W17" s="1266"/>
      <c r="X17" s="1266"/>
      <c r="Y17" s="1266"/>
      <c r="Z17" s="1266"/>
      <c r="AA17" s="1266"/>
      <c r="AB17" s="1266"/>
      <c r="AC17" s="1266"/>
      <c r="AD17" s="1266"/>
      <c r="AE17" s="1266"/>
      <c r="AF17" s="1266"/>
      <c r="AG17" s="1266"/>
      <c r="AH17" s="1266"/>
      <c r="AI17" s="1266"/>
      <c r="AJ17" s="1266"/>
      <c r="AK17" s="1266"/>
      <c r="AL17" s="1266"/>
      <c r="AM17" s="1266"/>
      <c r="AN17" s="1267"/>
      <c r="AO17" s="113"/>
      <c r="AP17" s="113"/>
      <c r="AQ17" s="113"/>
      <c r="AR17" s="113"/>
      <c r="AS17" s="113"/>
      <c r="AT17" s="113"/>
      <c r="AU17" s="113"/>
      <c r="AV17" s="113"/>
      <c r="AW17" s="113"/>
      <c r="AX17" s="113"/>
      <c r="AY17" s="113"/>
      <c r="AZ17" s="113"/>
      <c r="BA17" s="113"/>
      <c r="BB17" s="113"/>
      <c r="BC17" s="113"/>
      <c r="BD17" s="113"/>
      <c r="BE17" s="113"/>
      <c r="BF17" s="113"/>
      <c r="BG17" s="113"/>
      <c r="BH17" s="113"/>
      <c r="BI17" s="113"/>
      <c r="BJ17" s="113"/>
      <c r="BK17" s="113"/>
      <c r="BL17" s="113"/>
      <c r="BM17" s="113"/>
      <c r="BN17" s="113"/>
      <c r="BO17" s="113"/>
      <c r="BP17" s="113"/>
      <c r="BQ17" s="113"/>
      <c r="BR17" s="113"/>
    </row>
    <row r="18" spans="1:70" ht="3" customHeight="1">
      <c r="A18" s="281"/>
      <c r="B18" s="282"/>
      <c r="C18" s="282"/>
      <c r="D18" s="283"/>
      <c r="E18" s="283"/>
      <c r="F18" s="283"/>
      <c r="G18" s="283"/>
      <c r="H18" s="283"/>
      <c r="I18" s="283"/>
      <c r="J18" s="283"/>
      <c r="K18" s="283"/>
      <c r="L18" s="283"/>
      <c r="M18" s="283"/>
      <c r="N18" s="283"/>
      <c r="O18" s="283"/>
      <c r="P18" s="283"/>
      <c r="Q18" s="284"/>
      <c r="R18" s="281"/>
      <c r="S18" s="282"/>
      <c r="T18" s="282"/>
      <c r="U18" s="283"/>
      <c r="V18" s="283"/>
      <c r="W18" s="283"/>
      <c r="X18" s="283"/>
      <c r="Y18" s="283"/>
      <c r="Z18" s="283"/>
      <c r="AA18" s="283"/>
      <c r="AB18" s="283"/>
      <c r="AC18" s="283"/>
      <c r="AD18" s="283"/>
      <c r="AE18" s="283"/>
      <c r="AF18" s="283"/>
      <c r="AG18" s="283"/>
      <c r="AH18" s="283"/>
      <c r="AI18" s="283"/>
      <c r="AJ18" s="283"/>
      <c r="AK18" s="283"/>
      <c r="AL18" s="283"/>
      <c r="AM18" s="283"/>
      <c r="AN18" s="284"/>
      <c r="AO18" s="113"/>
      <c r="AP18" s="113"/>
      <c r="AQ18" s="113"/>
      <c r="AR18" s="113"/>
      <c r="AS18" s="113"/>
      <c r="AT18" s="113"/>
      <c r="AU18" s="113"/>
      <c r="AV18" s="113"/>
      <c r="AW18" s="113"/>
      <c r="AX18" s="113"/>
      <c r="AY18" s="113"/>
      <c r="AZ18" s="113"/>
      <c r="BA18" s="113"/>
      <c r="BB18" s="113"/>
      <c r="BC18" s="113"/>
      <c r="BD18" s="113"/>
      <c r="BE18" s="113"/>
      <c r="BF18" s="113"/>
      <c r="BG18" s="113"/>
      <c r="BH18" s="113"/>
      <c r="BI18" s="113"/>
      <c r="BJ18" s="113"/>
      <c r="BK18" s="113"/>
      <c r="BL18" s="113"/>
      <c r="BM18" s="113"/>
      <c r="BN18" s="113"/>
      <c r="BO18" s="113"/>
      <c r="BP18" s="113"/>
      <c r="BQ18" s="113"/>
      <c r="BR18" s="113"/>
    </row>
    <row r="19" spans="1:70" ht="3" customHeight="1">
      <c r="A19" s="281"/>
      <c r="B19" s="282"/>
      <c r="C19" s="282"/>
      <c r="D19" s="283"/>
      <c r="E19" s="283"/>
      <c r="F19" s="283"/>
      <c r="G19" s="283"/>
      <c r="H19" s="283"/>
      <c r="I19" s="283"/>
      <c r="J19" s="283"/>
      <c r="K19" s="283"/>
      <c r="L19" s="283"/>
      <c r="M19" s="283"/>
      <c r="N19" s="283"/>
      <c r="O19" s="283"/>
      <c r="P19" s="283"/>
      <c r="Q19" s="284"/>
      <c r="R19" s="281"/>
      <c r="S19" s="282"/>
      <c r="T19" s="282"/>
      <c r="U19" s="283"/>
      <c r="V19" s="283"/>
      <c r="W19" s="283"/>
      <c r="X19" s="283"/>
      <c r="Y19" s="283"/>
      <c r="Z19" s="283"/>
      <c r="AA19" s="283"/>
      <c r="AB19" s="283"/>
      <c r="AC19" s="283"/>
      <c r="AD19" s="283"/>
      <c r="AE19" s="283"/>
      <c r="AF19" s="283"/>
      <c r="AG19" s="283"/>
      <c r="AH19" s="283"/>
      <c r="AI19" s="283"/>
      <c r="AJ19" s="283"/>
      <c r="AK19" s="283"/>
      <c r="AL19" s="283"/>
      <c r="AM19" s="283"/>
      <c r="AN19" s="284"/>
      <c r="AO19" s="113"/>
      <c r="AP19" s="113"/>
      <c r="AQ19" s="113"/>
      <c r="AR19" s="113"/>
      <c r="AS19" s="113"/>
      <c r="AT19" s="113"/>
      <c r="AU19" s="113"/>
      <c r="AV19" s="113"/>
      <c r="AW19" s="113"/>
      <c r="AX19" s="113"/>
      <c r="AY19" s="113"/>
      <c r="AZ19" s="113"/>
      <c r="BA19" s="113"/>
      <c r="BB19" s="113"/>
      <c r="BC19" s="113"/>
      <c r="BD19" s="113"/>
      <c r="BE19" s="113"/>
      <c r="BF19" s="113"/>
      <c r="BG19" s="113"/>
      <c r="BH19" s="113"/>
      <c r="BI19" s="113"/>
      <c r="BJ19" s="113"/>
      <c r="BK19" s="113"/>
      <c r="BL19" s="113"/>
      <c r="BM19" s="113"/>
      <c r="BN19" s="113"/>
      <c r="BO19" s="113"/>
      <c r="BP19" s="113"/>
      <c r="BQ19" s="113"/>
      <c r="BR19" s="113"/>
    </row>
    <row r="20" spans="1:70" ht="15.75" customHeight="1">
      <c r="A20" s="281"/>
      <c r="B20" s="497" t="s">
        <v>653</v>
      </c>
      <c r="C20" s="282"/>
      <c r="D20" s="1266" t="str">
        <f>Cover!AB31</f>
        <v>12 Confirmation of process capability</v>
      </c>
      <c r="E20" s="1266"/>
      <c r="F20" s="1266"/>
      <c r="G20" s="1266"/>
      <c r="H20" s="1266"/>
      <c r="I20" s="1266"/>
      <c r="J20" s="1266"/>
      <c r="K20" s="1266"/>
      <c r="L20" s="1266"/>
      <c r="M20" s="1266"/>
      <c r="N20" s="1266"/>
      <c r="O20" s="1266"/>
      <c r="P20" s="1266"/>
      <c r="Q20" s="1267"/>
      <c r="R20" s="281"/>
      <c r="S20" s="497"/>
      <c r="T20" s="282"/>
      <c r="U20" s="1266" t="str">
        <f>Cover!BU31</f>
        <v>20 Confirmation of suitability of transport equipment</v>
      </c>
      <c r="V20" s="1266"/>
      <c r="W20" s="1266"/>
      <c r="X20" s="1266"/>
      <c r="Y20" s="1266"/>
      <c r="Z20" s="1266"/>
      <c r="AA20" s="1266"/>
      <c r="AB20" s="1266"/>
      <c r="AC20" s="1266"/>
      <c r="AD20" s="1266"/>
      <c r="AE20" s="1266"/>
      <c r="AF20" s="1266"/>
      <c r="AG20" s="1266"/>
      <c r="AH20" s="1266"/>
      <c r="AI20" s="1266"/>
      <c r="AJ20" s="1266"/>
      <c r="AK20" s="1266"/>
      <c r="AL20" s="1266"/>
      <c r="AM20" s="1266"/>
      <c r="AN20" s="1267"/>
      <c r="AO20" s="113"/>
      <c r="AP20" s="113"/>
      <c r="AQ20" s="113"/>
      <c r="AR20" s="113"/>
      <c r="AS20" s="113"/>
      <c r="AT20" s="113"/>
      <c r="AU20" s="113"/>
      <c r="AV20" s="113"/>
      <c r="AW20" s="113"/>
      <c r="AX20" s="113"/>
      <c r="AY20" s="113"/>
      <c r="AZ20" s="113"/>
      <c r="BA20" s="113"/>
      <c r="BB20" s="113"/>
      <c r="BC20" s="113"/>
      <c r="BD20" s="113"/>
      <c r="BE20" s="113"/>
      <c r="BF20" s="113"/>
      <c r="BG20" s="113"/>
      <c r="BH20" s="113"/>
      <c r="BI20" s="113"/>
      <c r="BJ20" s="113"/>
      <c r="BK20" s="113"/>
      <c r="BL20" s="113"/>
      <c r="BM20" s="113"/>
      <c r="BN20" s="113"/>
      <c r="BO20" s="113"/>
      <c r="BP20" s="113"/>
      <c r="BQ20" s="113"/>
      <c r="BR20" s="113"/>
    </row>
    <row r="21" spans="1:70" ht="3" customHeight="1">
      <c r="A21" s="281"/>
      <c r="B21" s="282"/>
      <c r="C21" s="282"/>
      <c r="D21" s="283"/>
      <c r="E21" s="283"/>
      <c r="F21" s="283"/>
      <c r="G21" s="283"/>
      <c r="H21" s="283"/>
      <c r="I21" s="283"/>
      <c r="J21" s="283"/>
      <c r="K21" s="283"/>
      <c r="L21" s="283"/>
      <c r="M21" s="283"/>
      <c r="N21" s="283"/>
      <c r="O21" s="283"/>
      <c r="P21" s="283"/>
      <c r="Q21" s="284"/>
      <c r="R21" s="281"/>
      <c r="S21" s="282"/>
      <c r="T21" s="282"/>
      <c r="U21" s="283"/>
      <c r="V21" s="283"/>
      <c r="W21" s="283"/>
      <c r="X21" s="283"/>
      <c r="Y21" s="283"/>
      <c r="Z21" s="283"/>
      <c r="AA21" s="283"/>
      <c r="AB21" s="283"/>
      <c r="AC21" s="283"/>
      <c r="AD21" s="283"/>
      <c r="AE21" s="283"/>
      <c r="AF21" s="283"/>
      <c r="AG21" s="283"/>
      <c r="AH21" s="283"/>
      <c r="AI21" s="283"/>
      <c r="AJ21" s="283"/>
      <c r="AK21" s="283"/>
      <c r="AL21" s="283"/>
      <c r="AM21" s="283"/>
      <c r="AN21" s="284"/>
      <c r="AO21" s="113"/>
      <c r="AP21" s="113"/>
      <c r="AQ21" s="113"/>
      <c r="AR21" s="113"/>
      <c r="AS21" s="113"/>
      <c r="AT21" s="113"/>
      <c r="AU21" s="113"/>
      <c r="AV21" s="113"/>
      <c r="AW21" s="113"/>
      <c r="AX21" s="113"/>
      <c r="AY21" s="113"/>
      <c r="AZ21" s="113"/>
      <c r="BA21" s="113"/>
      <c r="BB21" s="113"/>
      <c r="BC21" s="113"/>
      <c r="BD21" s="113"/>
      <c r="BE21" s="113"/>
      <c r="BF21" s="113"/>
      <c r="BG21" s="113"/>
      <c r="BH21" s="113"/>
      <c r="BI21" s="113"/>
      <c r="BJ21" s="113"/>
      <c r="BK21" s="113"/>
      <c r="BL21" s="113"/>
      <c r="BM21" s="113"/>
      <c r="BN21" s="113"/>
      <c r="BO21" s="113"/>
      <c r="BP21" s="113"/>
      <c r="BQ21" s="113"/>
      <c r="BR21" s="113"/>
    </row>
    <row r="22" spans="1:70" ht="3" customHeight="1">
      <c r="A22" s="281"/>
      <c r="B22" s="282"/>
      <c r="C22" s="282"/>
      <c r="D22" s="283"/>
      <c r="E22" s="283"/>
      <c r="F22" s="283"/>
      <c r="G22" s="283"/>
      <c r="H22" s="283"/>
      <c r="I22" s="283"/>
      <c r="J22" s="283"/>
      <c r="K22" s="283"/>
      <c r="L22" s="283"/>
      <c r="M22" s="283"/>
      <c r="N22" s="283"/>
      <c r="O22" s="283"/>
      <c r="P22" s="283"/>
      <c r="Q22" s="284"/>
      <c r="R22" s="281"/>
      <c r="S22" s="282"/>
      <c r="T22" s="282"/>
      <c r="U22" s="283"/>
      <c r="V22" s="283"/>
      <c r="W22" s="283"/>
      <c r="X22" s="283"/>
      <c r="Y22" s="283"/>
      <c r="Z22" s="283"/>
      <c r="AA22" s="283"/>
      <c r="AB22" s="283"/>
      <c r="AC22" s="283"/>
      <c r="AD22" s="283"/>
      <c r="AE22" s="283"/>
      <c r="AF22" s="283"/>
      <c r="AG22" s="283"/>
      <c r="AH22" s="283"/>
      <c r="AI22" s="283"/>
      <c r="AJ22" s="283"/>
      <c r="AK22" s="283"/>
      <c r="AL22" s="283"/>
      <c r="AM22" s="283"/>
      <c r="AN22" s="284"/>
      <c r="AO22" s="113"/>
      <c r="AP22" s="113"/>
      <c r="AQ22" s="113"/>
      <c r="AR22" s="113"/>
      <c r="AS22" s="113"/>
      <c r="AT22" s="113"/>
      <c r="AU22" s="113"/>
      <c r="AV22" s="113"/>
      <c r="AW22" s="113"/>
      <c r="AX22" s="113"/>
      <c r="AY22" s="113"/>
      <c r="AZ22" s="113"/>
      <c r="BA22" s="113"/>
      <c r="BB22" s="113"/>
      <c r="BC22" s="113"/>
      <c r="BD22" s="113"/>
      <c r="BE22" s="113"/>
      <c r="BF22" s="113"/>
      <c r="BG22" s="113"/>
      <c r="BH22" s="113"/>
      <c r="BI22" s="113"/>
      <c r="BJ22" s="113"/>
      <c r="BK22" s="113"/>
      <c r="BL22" s="113"/>
      <c r="BM22" s="113"/>
      <c r="BN22" s="113"/>
      <c r="BO22" s="113"/>
      <c r="BP22" s="113"/>
      <c r="BQ22" s="113"/>
      <c r="BR22" s="113"/>
    </row>
    <row r="23" spans="1:70" ht="15.75" customHeight="1">
      <c r="A23" s="281"/>
      <c r="B23" s="497"/>
      <c r="C23" s="282"/>
      <c r="D23" s="1266" t="str">
        <f>Cover!AB33</f>
        <v>13 Achievement of special characteristics</v>
      </c>
      <c r="E23" s="1266"/>
      <c r="F23" s="1266"/>
      <c r="G23" s="1266"/>
      <c r="H23" s="1266"/>
      <c r="I23" s="1266"/>
      <c r="J23" s="1266"/>
      <c r="K23" s="1266"/>
      <c r="L23" s="1266"/>
      <c r="M23" s="1266"/>
      <c r="N23" s="1266"/>
      <c r="O23" s="1266"/>
      <c r="P23" s="1266"/>
      <c r="Q23" s="1267"/>
      <c r="R23" s="281"/>
      <c r="S23" s="497"/>
      <c r="T23" s="282"/>
      <c r="U23" s="1266" t="str">
        <f>Cover!BU33</f>
        <v>21 PPA-Status of the supply chain</v>
      </c>
      <c r="V23" s="1266"/>
      <c r="W23" s="1266"/>
      <c r="X23" s="1266"/>
      <c r="Y23" s="1266"/>
      <c r="Z23" s="1266"/>
      <c r="AA23" s="1266"/>
      <c r="AB23" s="1266"/>
      <c r="AC23" s="1266"/>
      <c r="AD23" s="1266"/>
      <c r="AE23" s="1266"/>
      <c r="AF23" s="1266"/>
      <c r="AG23" s="1266"/>
      <c r="AH23" s="1266"/>
      <c r="AI23" s="1266"/>
      <c r="AJ23" s="1266"/>
      <c r="AK23" s="1266"/>
      <c r="AL23" s="1266"/>
      <c r="AM23" s="1266"/>
      <c r="AN23" s="1267"/>
      <c r="AO23" s="113"/>
      <c r="AP23" s="113"/>
      <c r="AQ23" s="113"/>
      <c r="AR23" s="113"/>
      <c r="AS23" s="113"/>
      <c r="AT23" s="113"/>
      <c r="AU23" s="113"/>
      <c r="AV23" s="113"/>
      <c r="AW23" s="113"/>
      <c r="AX23" s="113"/>
      <c r="AY23" s="113"/>
      <c r="AZ23" s="113"/>
      <c r="BA23" s="113"/>
      <c r="BB23" s="113"/>
      <c r="BC23" s="113"/>
      <c r="BD23" s="113"/>
      <c r="BE23" s="113"/>
      <c r="BF23" s="113"/>
      <c r="BG23" s="113"/>
      <c r="BH23" s="113"/>
      <c r="BI23" s="113"/>
      <c r="BJ23" s="113"/>
      <c r="BK23" s="113"/>
      <c r="BL23" s="113"/>
      <c r="BM23" s="113"/>
      <c r="BN23" s="113"/>
      <c r="BO23" s="113"/>
      <c r="BP23" s="113"/>
      <c r="BQ23" s="113"/>
      <c r="BR23" s="113"/>
    </row>
    <row r="24" spans="1:70" ht="3" customHeight="1">
      <c r="A24" s="281"/>
      <c r="B24" s="282"/>
      <c r="C24" s="282"/>
      <c r="D24" s="283"/>
      <c r="E24" s="283"/>
      <c r="F24" s="283"/>
      <c r="G24" s="283"/>
      <c r="H24" s="283"/>
      <c r="I24" s="283"/>
      <c r="J24" s="283"/>
      <c r="K24" s="283"/>
      <c r="L24" s="283"/>
      <c r="M24" s="283"/>
      <c r="N24" s="283"/>
      <c r="O24" s="283"/>
      <c r="P24" s="283"/>
      <c r="Q24" s="284"/>
      <c r="R24" s="281"/>
      <c r="S24" s="282"/>
      <c r="T24" s="282"/>
      <c r="U24" s="283"/>
      <c r="V24" s="283"/>
      <c r="W24" s="283"/>
      <c r="X24" s="283"/>
      <c r="Y24" s="283"/>
      <c r="Z24" s="283"/>
      <c r="AA24" s="283"/>
      <c r="AB24" s="283"/>
      <c r="AC24" s="283"/>
      <c r="AD24" s="283"/>
      <c r="AE24" s="283"/>
      <c r="AF24" s="283"/>
      <c r="AG24" s="283"/>
      <c r="AH24" s="283"/>
      <c r="AI24" s="283"/>
      <c r="AJ24" s="283"/>
      <c r="AK24" s="283"/>
      <c r="AL24" s="283"/>
      <c r="AM24" s="283"/>
      <c r="AN24" s="284"/>
      <c r="AO24" s="113"/>
      <c r="AP24" s="113"/>
      <c r="AQ24" s="113"/>
      <c r="AR24" s="113"/>
      <c r="AS24" s="113"/>
      <c r="AT24" s="113"/>
      <c r="AU24" s="113"/>
      <c r="AV24" s="113"/>
      <c r="AW24" s="113"/>
      <c r="AX24" s="113"/>
      <c r="AY24" s="113"/>
      <c r="AZ24" s="113"/>
      <c r="BA24" s="113"/>
      <c r="BB24" s="113"/>
      <c r="BC24" s="113"/>
      <c r="BD24" s="113"/>
      <c r="BE24" s="113"/>
      <c r="BF24" s="113"/>
      <c r="BG24" s="113"/>
      <c r="BH24" s="113"/>
      <c r="BI24" s="113"/>
      <c r="BJ24" s="113"/>
      <c r="BK24" s="113"/>
      <c r="BL24" s="113"/>
      <c r="BM24" s="113"/>
      <c r="BN24" s="113"/>
      <c r="BO24" s="113"/>
      <c r="BP24" s="113"/>
      <c r="BQ24" s="113"/>
      <c r="BR24" s="113"/>
    </row>
    <row r="25" spans="1:70" ht="3" customHeight="1">
      <c r="A25" s="281"/>
      <c r="B25" s="282"/>
      <c r="C25" s="282"/>
      <c r="D25" s="283"/>
      <c r="E25" s="283"/>
      <c r="F25" s="283"/>
      <c r="G25" s="283"/>
      <c r="H25" s="283"/>
      <c r="I25" s="283"/>
      <c r="J25" s="283"/>
      <c r="K25" s="283"/>
      <c r="L25" s="283"/>
      <c r="M25" s="283"/>
      <c r="N25" s="283"/>
      <c r="O25" s="283"/>
      <c r="P25" s="283"/>
      <c r="Q25" s="284"/>
      <c r="R25" s="281"/>
      <c r="S25" s="282"/>
      <c r="T25" s="282"/>
      <c r="U25" s="283"/>
      <c r="V25" s="283"/>
      <c r="W25" s="283"/>
      <c r="X25" s="283"/>
      <c r="Y25" s="283"/>
      <c r="Z25" s="283"/>
      <c r="AA25" s="283"/>
      <c r="AB25" s="283"/>
      <c r="AC25" s="283"/>
      <c r="AD25" s="283"/>
      <c r="AE25" s="283"/>
      <c r="AF25" s="283"/>
      <c r="AG25" s="283"/>
      <c r="AH25" s="283"/>
      <c r="AI25" s="283"/>
      <c r="AJ25" s="283"/>
      <c r="AK25" s="283"/>
      <c r="AL25" s="283"/>
      <c r="AM25" s="283"/>
      <c r="AN25" s="284"/>
      <c r="AO25" s="113"/>
      <c r="AP25" s="113"/>
      <c r="AQ25" s="113"/>
      <c r="AR25" s="113"/>
      <c r="AS25" s="113"/>
      <c r="AT25" s="113"/>
      <c r="AU25" s="113"/>
      <c r="AV25" s="113"/>
      <c r="AW25" s="113"/>
      <c r="AX25" s="113"/>
      <c r="AY25" s="113"/>
      <c r="AZ25" s="113"/>
      <c r="BA25" s="113"/>
      <c r="BB25" s="113"/>
      <c r="BC25" s="113"/>
      <c r="BD25" s="113"/>
      <c r="BE25" s="113"/>
      <c r="BF25" s="113"/>
      <c r="BG25" s="113"/>
      <c r="BH25" s="113"/>
      <c r="BI25" s="113"/>
      <c r="BJ25" s="113"/>
      <c r="BK25" s="113"/>
      <c r="BL25" s="113"/>
      <c r="BM25" s="113"/>
      <c r="BN25" s="113"/>
      <c r="BO25" s="113"/>
      <c r="BP25" s="113"/>
      <c r="BQ25" s="113"/>
      <c r="BR25" s="113"/>
    </row>
    <row r="26" spans="1:70" ht="15.75" customHeight="1">
      <c r="A26" s="281"/>
      <c r="B26" s="497"/>
      <c r="C26" s="282"/>
      <c r="D26" s="1266" t="str">
        <f>Cover!AB35</f>
        <v>14 Test / Inspection equipment list</v>
      </c>
      <c r="E26" s="1266"/>
      <c r="F26" s="1266"/>
      <c r="G26" s="1266"/>
      <c r="H26" s="1266"/>
      <c r="I26" s="1266"/>
      <c r="J26" s="1266"/>
      <c r="K26" s="1266"/>
      <c r="L26" s="1266"/>
      <c r="M26" s="1266"/>
      <c r="N26" s="1266"/>
      <c r="O26" s="1266"/>
      <c r="P26" s="1266"/>
      <c r="Q26" s="1267"/>
      <c r="R26" s="281"/>
      <c r="S26" s="497"/>
      <c r="T26" s="282"/>
      <c r="U26" s="1266" t="str">
        <f>Cover!BU35</f>
        <v xml:space="preserve">22 Approval of coating systems </v>
      </c>
      <c r="V26" s="1266"/>
      <c r="W26" s="1266"/>
      <c r="X26" s="1266"/>
      <c r="Y26" s="1266"/>
      <c r="Z26" s="1266"/>
      <c r="AA26" s="1266"/>
      <c r="AB26" s="1266"/>
      <c r="AC26" s="1266"/>
      <c r="AD26" s="1266"/>
      <c r="AE26" s="1266"/>
      <c r="AF26" s="1266"/>
      <c r="AG26" s="1266"/>
      <c r="AH26" s="1266"/>
      <c r="AI26" s="1266"/>
      <c r="AJ26" s="1266"/>
      <c r="AK26" s="1266"/>
      <c r="AL26" s="1266"/>
      <c r="AM26" s="1266"/>
      <c r="AN26" s="1267"/>
      <c r="AO26" s="113"/>
      <c r="AP26" s="113"/>
      <c r="AQ26" s="113"/>
      <c r="AR26" s="113"/>
      <c r="AS26" s="113"/>
      <c r="AT26" s="113"/>
      <c r="AU26" s="113"/>
      <c r="AV26" s="113"/>
      <c r="AW26" s="113"/>
      <c r="AX26" s="113"/>
      <c r="AY26" s="113"/>
      <c r="AZ26" s="113"/>
      <c r="BA26" s="113"/>
      <c r="BB26" s="113"/>
      <c r="BC26" s="113"/>
      <c r="BD26" s="113"/>
      <c r="BE26" s="113"/>
      <c r="BF26" s="113"/>
      <c r="BG26" s="113"/>
      <c r="BH26" s="113"/>
      <c r="BI26" s="113"/>
      <c r="BJ26" s="113"/>
      <c r="BK26" s="113"/>
      <c r="BL26" s="113"/>
      <c r="BM26" s="113"/>
      <c r="BN26" s="113"/>
      <c r="BO26" s="113"/>
      <c r="BP26" s="113"/>
      <c r="BQ26" s="113"/>
      <c r="BR26" s="113"/>
    </row>
    <row r="27" spans="1:70" ht="3" customHeight="1">
      <c r="A27" s="281"/>
      <c r="B27" s="282"/>
      <c r="C27" s="282"/>
      <c r="D27" s="283"/>
      <c r="E27" s="283"/>
      <c r="F27" s="283"/>
      <c r="G27" s="283"/>
      <c r="H27" s="283"/>
      <c r="I27" s="283"/>
      <c r="J27" s="283"/>
      <c r="K27" s="283"/>
      <c r="L27" s="283"/>
      <c r="M27" s="283"/>
      <c r="N27" s="283"/>
      <c r="O27" s="283"/>
      <c r="P27" s="283"/>
      <c r="Q27" s="284"/>
      <c r="R27" s="281"/>
      <c r="S27" s="282"/>
      <c r="T27" s="282"/>
      <c r="U27" s="283"/>
      <c r="V27" s="283"/>
      <c r="W27" s="283"/>
      <c r="X27" s="283"/>
      <c r="Y27" s="283"/>
      <c r="Z27" s="283"/>
      <c r="AA27" s="283"/>
      <c r="AB27" s="283"/>
      <c r="AC27" s="283"/>
      <c r="AD27" s="283"/>
      <c r="AE27" s="283"/>
      <c r="AF27" s="283"/>
      <c r="AG27" s="283"/>
      <c r="AH27" s="283"/>
      <c r="AI27" s="283"/>
      <c r="AJ27" s="283"/>
      <c r="AK27" s="283"/>
      <c r="AL27" s="283"/>
      <c r="AM27" s="283"/>
      <c r="AN27" s="284"/>
      <c r="AO27" s="113"/>
      <c r="AP27" s="113"/>
      <c r="AQ27" s="113"/>
      <c r="AR27" s="113"/>
      <c r="AS27" s="113"/>
      <c r="AT27" s="113"/>
      <c r="AU27" s="113"/>
      <c r="AV27" s="113"/>
      <c r="AW27" s="113"/>
      <c r="AX27" s="113"/>
      <c r="AY27" s="113"/>
      <c r="AZ27" s="113"/>
      <c r="BA27" s="113"/>
      <c r="BB27" s="113"/>
      <c r="BC27" s="113"/>
      <c r="BD27" s="113"/>
      <c r="BE27" s="113"/>
      <c r="BF27" s="113"/>
      <c r="BG27" s="113"/>
      <c r="BH27" s="113"/>
      <c r="BI27" s="113"/>
      <c r="BJ27" s="113"/>
      <c r="BK27" s="113"/>
      <c r="BL27" s="113"/>
      <c r="BM27" s="113"/>
      <c r="BN27" s="113"/>
      <c r="BO27" s="113"/>
      <c r="BP27" s="113"/>
      <c r="BQ27" s="113"/>
      <c r="BR27" s="113"/>
    </row>
    <row r="28" spans="1:70" ht="3" customHeight="1">
      <c r="A28" s="281"/>
      <c r="B28" s="282"/>
      <c r="C28" s="282"/>
      <c r="D28" s="283"/>
      <c r="E28" s="283"/>
      <c r="F28" s="283"/>
      <c r="G28" s="283"/>
      <c r="H28" s="283"/>
      <c r="I28" s="283"/>
      <c r="J28" s="283"/>
      <c r="K28" s="283"/>
      <c r="L28" s="283"/>
      <c r="M28" s="283"/>
      <c r="N28" s="283"/>
      <c r="O28" s="283"/>
      <c r="P28" s="283"/>
      <c r="Q28" s="284"/>
      <c r="R28" s="281"/>
      <c r="S28" s="282"/>
      <c r="T28" s="282"/>
      <c r="U28" s="283"/>
      <c r="V28" s="283"/>
      <c r="W28" s="283"/>
      <c r="X28" s="283"/>
      <c r="Y28" s="283"/>
      <c r="Z28" s="283"/>
      <c r="AA28" s="283"/>
      <c r="AB28" s="283"/>
      <c r="AC28" s="283"/>
      <c r="AD28" s="283"/>
      <c r="AE28" s="283"/>
      <c r="AF28" s="283"/>
      <c r="AG28" s="283"/>
      <c r="AH28" s="283"/>
      <c r="AI28" s="283"/>
      <c r="AJ28" s="283"/>
      <c r="AK28" s="283"/>
      <c r="AL28" s="283"/>
      <c r="AM28" s="283"/>
      <c r="AN28" s="284"/>
      <c r="AO28" s="113"/>
      <c r="AP28" s="113"/>
      <c r="AQ28" s="113"/>
      <c r="AR28" s="113"/>
      <c r="AS28" s="113"/>
      <c r="AT28" s="113"/>
      <c r="AU28" s="113"/>
      <c r="AV28" s="113"/>
      <c r="AW28" s="113"/>
      <c r="AX28" s="113"/>
      <c r="AY28" s="113"/>
      <c r="AZ28" s="113"/>
      <c r="BA28" s="113"/>
      <c r="BB28" s="113"/>
      <c r="BC28" s="113"/>
      <c r="BD28" s="113"/>
      <c r="BE28" s="113"/>
      <c r="BF28" s="113"/>
      <c r="BG28" s="113"/>
      <c r="BH28" s="113"/>
      <c r="BI28" s="113"/>
      <c r="BJ28" s="113"/>
      <c r="BK28" s="113"/>
      <c r="BL28" s="113"/>
      <c r="BM28" s="113"/>
      <c r="BN28" s="113"/>
      <c r="BO28" s="113"/>
      <c r="BP28" s="113"/>
      <c r="BQ28" s="113"/>
      <c r="BR28" s="113"/>
    </row>
    <row r="29" spans="1:70" ht="15.75" customHeight="1">
      <c r="A29" s="281"/>
      <c r="B29" s="497"/>
      <c r="C29" s="282"/>
      <c r="D29" s="1266" t="str">
        <f>Cover!AB37</f>
        <v>15 Capability study testing equipment</v>
      </c>
      <c r="E29" s="1266"/>
      <c r="F29" s="1266"/>
      <c r="G29" s="1266"/>
      <c r="H29" s="1266"/>
      <c r="I29" s="1266"/>
      <c r="J29" s="1266"/>
      <c r="K29" s="1266"/>
      <c r="L29" s="1266"/>
      <c r="M29" s="1266"/>
      <c r="N29" s="1266"/>
      <c r="O29" s="1266"/>
      <c r="P29" s="1266"/>
      <c r="Q29" s="1267"/>
      <c r="R29" s="281"/>
      <c r="S29" s="497"/>
      <c r="T29" s="282"/>
      <c r="U29" s="409">
        <f>Cover!BU37</f>
        <v>23</v>
      </c>
      <c r="V29" s="1266" t="str">
        <f>Cover!BX37</f>
        <v>Other</v>
      </c>
      <c r="W29" s="1266"/>
      <c r="X29" s="1266"/>
      <c r="Y29" s="1266"/>
      <c r="Z29" s="1266"/>
      <c r="AA29" s="1266"/>
      <c r="AB29" s="1266"/>
      <c r="AC29" s="1266"/>
      <c r="AD29" s="1266"/>
      <c r="AE29" s="1266"/>
      <c r="AF29" s="1266"/>
      <c r="AG29" s="1266"/>
      <c r="AH29" s="1266"/>
      <c r="AI29" s="1266"/>
      <c r="AJ29" s="1266"/>
      <c r="AK29" s="1266"/>
      <c r="AL29" s="1266"/>
      <c r="AM29" s="1266"/>
      <c r="AN29" s="1267"/>
      <c r="AO29" s="113"/>
      <c r="AP29" s="113"/>
      <c r="AQ29" s="113"/>
      <c r="AR29" s="113"/>
      <c r="AS29" s="113"/>
      <c r="AT29" s="113"/>
      <c r="AU29" s="113"/>
      <c r="AV29" s="113"/>
      <c r="AW29" s="113"/>
      <c r="AX29" s="113"/>
      <c r="AY29" s="113"/>
      <c r="AZ29" s="113"/>
      <c r="BA29" s="113"/>
      <c r="BB29" s="113"/>
      <c r="BC29" s="113"/>
      <c r="BD29" s="113"/>
      <c r="BE29" s="113"/>
      <c r="BF29" s="113"/>
      <c r="BG29" s="113"/>
      <c r="BH29" s="113"/>
      <c r="BI29" s="113"/>
      <c r="BJ29" s="113"/>
      <c r="BK29" s="113"/>
      <c r="BL29" s="113"/>
      <c r="BM29" s="113"/>
      <c r="BN29" s="113"/>
      <c r="BO29" s="113"/>
      <c r="BP29" s="113"/>
      <c r="BQ29" s="113"/>
      <c r="BR29" s="113"/>
    </row>
    <row r="30" spans="1:70" ht="3" customHeight="1" thickBot="1">
      <c r="A30" s="285"/>
      <c r="B30" s="286"/>
      <c r="C30" s="286"/>
      <c r="D30" s="287"/>
      <c r="E30" s="287"/>
      <c r="F30" s="287"/>
      <c r="G30" s="287"/>
      <c r="H30" s="287"/>
      <c r="I30" s="287"/>
      <c r="J30" s="287"/>
      <c r="K30" s="287"/>
      <c r="L30" s="287"/>
      <c r="M30" s="287"/>
      <c r="N30" s="287"/>
      <c r="O30" s="287"/>
      <c r="P30" s="287"/>
      <c r="Q30" s="288"/>
      <c r="R30" s="285"/>
      <c r="S30" s="286"/>
      <c r="T30" s="286"/>
      <c r="U30" s="287"/>
      <c r="V30" s="287"/>
      <c r="W30" s="287"/>
      <c r="X30" s="287"/>
      <c r="Y30" s="287"/>
      <c r="Z30" s="287"/>
      <c r="AA30" s="287"/>
      <c r="AB30" s="287"/>
      <c r="AC30" s="287"/>
      <c r="AD30" s="287"/>
      <c r="AE30" s="287"/>
      <c r="AF30" s="287"/>
      <c r="AG30" s="287"/>
      <c r="AH30" s="287"/>
      <c r="AI30" s="287"/>
      <c r="AJ30" s="287"/>
      <c r="AK30" s="287"/>
      <c r="AL30" s="287"/>
      <c r="AM30" s="287"/>
      <c r="AN30" s="288"/>
      <c r="AO30" s="113"/>
      <c r="AP30" s="113"/>
      <c r="AQ30" s="113"/>
      <c r="AR30" s="113"/>
      <c r="AS30" s="113"/>
      <c r="AT30" s="113"/>
      <c r="AU30" s="113"/>
      <c r="AV30" s="113"/>
      <c r="AW30" s="113"/>
      <c r="AX30" s="113"/>
      <c r="AY30" s="113"/>
      <c r="AZ30" s="113"/>
      <c r="BA30" s="113"/>
      <c r="BB30" s="113"/>
      <c r="BC30" s="113"/>
      <c r="BD30" s="113"/>
      <c r="BE30" s="113"/>
      <c r="BF30" s="113"/>
      <c r="BG30" s="113"/>
      <c r="BH30" s="113"/>
      <c r="BI30" s="113"/>
      <c r="BJ30" s="113"/>
      <c r="BK30" s="113"/>
      <c r="BL30" s="113"/>
      <c r="BM30" s="113"/>
      <c r="BN30" s="113"/>
      <c r="BO30" s="113"/>
      <c r="BP30" s="113"/>
      <c r="BQ30" s="113"/>
      <c r="BR30" s="113"/>
    </row>
    <row r="31" spans="1:70" ht="3" customHeight="1" thickBot="1">
      <c r="A31" s="113"/>
      <c r="B31" s="113"/>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3"/>
      <c r="AL31" s="113"/>
      <c r="AM31" s="113"/>
      <c r="AN31" s="113"/>
      <c r="AO31" s="113"/>
      <c r="AP31" s="113"/>
      <c r="AQ31" s="113"/>
      <c r="AR31" s="113"/>
      <c r="AS31" s="113"/>
      <c r="AT31" s="113"/>
      <c r="AU31" s="113"/>
      <c r="AV31" s="113"/>
      <c r="AW31" s="113"/>
      <c r="AX31" s="113"/>
      <c r="AY31" s="113"/>
      <c r="AZ31" s="113"/>
      <c r="BA31" s="113"/>
      <c r="BB31" s="113"/>
      <c r="BC31" s="113"/>
      <c r="BD31" s="113"/>
      <c r="BE31" s="113"/>
      <c r="BF31" s="113"/>
      <c r="BG31" s="113"/>
      <c r="BH31" s="113"/>
      <c r="BI31" s="113"/>
      <c r="BJ31" s="113"/>
      <c r="BK31" s="113"/>
      <c r="BL31" s="113"/>
      <c r="BM31" s="113"/>
      <c r="BN31" s="113"/>
      <c r="BO31" s="113"/>
      <c r="BP31" s="113"/>
      <c r="BQ31" s="113"/>
      <c r="BR31" s="113"/>
    </row>
    <row r="32" spans="1:70" ht="16.5" customHeight="1">
      <c r="A32" s="1264" t="str">
        <f>Content!A4</f>
        <v>Supplier/Production plant:</v>
      </c>
      <c r="B32" s="1265"/>
      <c r="C32" s="1265"/>
      <c r="D32" s="1265"/>
      <c r="E32" s="1265"/>
      <c r="F32" s="1265"/>
      <c r="G32" s="1265"/>
      <c r="H32" s="1265"/>
      <c r="I32" s="1265"/>
      <c r="J32" s="1265"/>
      <c r="K32" s="923">
        <f>Cover!H41</f>
        <v>0</v>
      </c>
      <c r="L32" s="923"/>
      <c r="M32" s="923"/>
      <c r="N32" s="923"/>
      <c r="O32" s="923"/>
      <c r="P32" s="923"/>
      <c r="Q32" s="924"/>
      <c r="R32" s="1264" t="str">
        <f>Content!Q4</f>
        <v>Customer:</v>
      </c>
      <c r="S32" s="1265"/>
      <c r="T32" s="1265"/>
      <c r="U32" s="1265"/>
      <c r="V32" s="1265"/>
      <c r="W32" s="1265"/>
      <c r="X32" s="1265"/>
      <c r="Y32" s="923">
        <f>Cover!CP41</f>
        <v>0</v>
      </c>
      <c r="Z32" s="923"/>
      <c r="AA32" s="923"/>
      <c r="AB32" s="923"/>
      <c r="AC32" s="923"/>
      <c r="AD32" s="923"/>
      <c r="AE32" s="923"/>
      <c r="AF32" s="923"/>
      <c r="AG32" s="923"/>
      <c r="AH32" s="923"/>
      <c r="AI32" s="923"/>
      <c r="AJ32" s="923"/>
      <c r="AK32" s="923"/>
      <c r="AL32" s="923"/>
      <c r="AM32" s="923"/>
      <c r="AN32" s="924"/>
      <c r="AO32" s="113"/>
      <c r="AP32" s="113"/>
      <c r="AQ32" s="113"/>
      <c r="AR32" s="113"/>
      <c r="AS32" s="113"/>
      <c r="AT32" s="113"/>
      <c r="AU32" s="113"/>
      <c r="AV32" s="113"/>
      <c r="AW32" s="113"/>
      <c r="AX32" s="113"/>
      <c r="AY32" s="113"/>
      <c r="AZ32" s="113"/>
      <c r="BA32" s="113"/>
      <c r="BB32" s="113"/>
      <c r="BC32" s="113"/>
      <c r="BD32" s="113"/>
      <c r="BE32" s="113"/>
      <c r="BF32" s="113"/>
      <c r="BG32" s="113"/>
      <c r="BH32" s="113"/>
      <c r="BI32" s="113"/>
      <c r="BJ32" s="113"/>
      <c r="BK32" s="113"/>
      <c r="BL32" s="113"/>
      <c r="BM32" s="113"/>
      <c r="BN32" s="113"/>
      <c r="BO32" s="113"/>
      <c r="BP32" s="113"/>
      <c r="BQ32" s="113"/>
      <c r="BR32" s="113"/>
    </row>
    <row r="33" spans="1:70" ht="16.5" customHeight="1">
      <c r="A33" s="1262" t="str">
        <f>Content!A5</f>
        <v>ID number / DUNS:</v>
      </c>
      <c r="B33" s="1263"/>
      <c r="C33" s="1263"/>
      <c r="D33" s="1263"/>
      <c r="E33" s="1263"/>
      <c r="F33" s="1263"/>
      <c r="G33" s="1263"/>
      <c r="H33" s="1263"/>
      <c r="I33" s="925">
        <f>Cover!AM41</f>
        <v>0</v>
      </c>
      <c r="J33" s="925"/>
      <c r="K33" s="925"/>
      <c r="L33" s="925"/>
      <c r="M33" s="925"/>
      <c r="N33" s="925"/>
      <c r="O33" s="925"/>
      <c r="P33" s="925"/>
      <c r="Q33" s="926"/>
      <c r="R33" s="1262" t="str">
        <f>Content!Q5</f>
        <v>ID number:</v>
      </c>
      <c r="S33" s="1263"/>
      <c r="T33" s="1263"/>
      <c r="U33" s="1263"/>
      <c r="V33" s="1263"/>
      <c r="W33" s="1263"/>
      <c r="X33" s="1263"/>
      <c r="Y33" s="925"/>
      <c r="Z33" s="925"/>
      <c r="AA33" s="925"/>
      <c r="AB33" s="925"/>
      <c r="AC33" s="925"/>
      <c r="AD33" s="925"/>
      <c r="AE33" s="925"/>
      <c r="AF33" s="925"/>
      <c r="AG33" s="925"/>
      <c r="AH33" s="925"/>
      <c r="AI33" s="925"/>
      <c r="AJ33" s="925"/>
      <c r="AK33" s="925"/>
      <c r="AL33" s="925"/>
      <c r="AM33" s="925"/>
      <c r="AN33" s="926"/>
      <c r="AO33" s="113"/>
      <c r="AP33" s="113"/>
      <c r="AQ33" s="113"/>
      <c r="AR33" s="113"/>
      <c r="AS33" s="113"/>
      <c r="AT33" s="113"/>
      <c r="AU33" s="113"/>
      <c r="AV33" s="113"/>
      <c r="AW33" s="113"/>
      <c r="AX33" s="113"/>
      <c r="AY33" s="113"/>
      <c r="AZ33" s="113"/>
      <c r="BA33" s="113"/>
      <c r="BB33" s="113"/>
      <c r="BC33" s="113"/>
      <c r="BD33" s="113"/>
      <c r="BE33" s="113"/>
      <c r="BF33" s="113"/>
      <c r="BG33" s="113"/>
      <c r="BH33" s="113"/>
      <c r="BI33" s="113"/>
      <c r="BJ33" s="113"/>
      <c r="BK33" s="113"/>
      <c r="BL33" s="113"/>
      <c r="BM33" s="113"/>
      <c r="BN33" s="113"/>
      <c r="BO33" s="113"/>
      <c r="BP33" s="113"/>
      <c r="BQ33" s="113"/>
      <c r="BR33" s="113"/>
    </row>
    <row r="34" spans="1:70" ht="16.5" customHeight="1">
      <c r="A34" s="1262" t="str">
        <f>Content!A6</f>
        <v>Report No.:</v>
      </c>
      <c r="B34" s="1263"/>
      <c r="C34" s="1263"/>
      <c r="D34" s="1263"/>
      <c r="E34" s="1263"/>
      <c r="F34" s="1263"/>
      <c r="G34" s="925">
        <f>Cover!CP42</f>
        <v>0</v>
      </c>
      <c r="H34" s="925"/>
      <c r="I34" s="925"/>
      <c r="J34" s="925"/>
      <c r="K34" s="925"/>
      <c r="L34" s="925"/>
      <c r="M34" s="289" t="s">
        <v>69</v>
      </c>
      <c r="N34" s="927"/>
      <c r="O34" s="927"/>
      <c r="P34" s="927"/>
      <c r="Q34" s="928"/>
      <c r="R34" s="1262" t="str">
        <f>Content!Q6</f>
        <v>Report No.:</v>
      </c>
      <c r="S34" s="1263"/>
      <c r="T34" s="1263"/>
      <c r="U34" s="1263"/>
      <c r="V34" s="1263"/>
      <c r="W34" s="1263"/>
      <c r="X34" s="1263"/>
      <c r="Y34" s="925"/>
      <c r="Z34" s="925"/>
      <c r="AA34" s="925"/>
      <c r="AB34" s="925"/>
      <c r="AC34" s="925"/>
      <c r="AD34" s="925"/>
      <c r="AE34" s="925"/>
      <c r="AF34" s="925"/>
      <c r="AG34" s="925"/>
      <c r="AH34" s="1261" t="s">
        <v>69</v>
      </c>
      <c r="AI34" s="1261"/>
      <c r="AJ34" s="1261"/>
      <c r="AK34" s="927"/>
      <c r="AL34" s="927"/>
      <c r="AM34" s="927"/>
      <c r="AN34" s="928"/>
      <c r="AO34" s="113"/>
      <c r="AP34" s="113"/>
      <c r="AQ34" s="113"/>
      <c r="AR34" s="113"/>
      <c r="AS34" s="113"/>
      <c r="AT34" s="113"/>
      <c r="AU34" s="113"/>
      <c r="AV34" s="113"/>
      <c r="AW34" s="113"/>
      <c r="AX34" s="113"/>
      <c r="AY34" s="113"/>
      <c r="AZ34" s="113"/>
      <c r="BA34" s="113"/>
      <c r="BB34" s="113"/>
      <c r="BC34" s="113"/>
      <c r="BD34" s="113"/>
      <c r="BE34" s="113"/>
      <c r="BF34" s="113"/>
      <c r="BG34" s="113"/>
      <c r="BH34" s="113"/>
      <c r="BI34" s="113"/>
      <c r="BJ34" s="113"/>
      <c r="BK34" s="113"/>
      <c r="BL34" s="113"/>
      <c r="BM34" s="113"/>
      <c r="BN34" s="113"/>
      <c r="BO34" s="113"/>
      <c r="BP34" s="113"/>
      <c r="BQ34" s="113"/>
      <c r="BR34" s="113"/>
    </row>
    <row r="35" spans="1:70" ht="16.5" customHeight="1">
      <c r="A35" s="1239" t="str">
        <f>Content!A7</f>
        <v>Part description:</v>
      </c>
      <c r="B35" s="1240"/>
      <c r="C35" s="1240"/>
      <c r="D35" s="1240"/>
      <c r="E35" s="1240"/>
      <c r="F35" s="1240"/>
      <c r="G35" s="938">
        <f>Cover!G42</f>
        <v>0</v>
      </c>
      <c r="H35" s="938"/>
      <c r="I35" s="938"/>
      <c r="J35" s="938"/>
      <c r="K35" s="938"/>
      <c r="L35" s="938"/>
      <c r="M35" s="938"/>
      <c r="N35" s="938"/>
      <c r="O35" s="938"/>
      <c r="P35" s="938"/>
      <c r="Q35" s="939"/>
      <c r="R35" s="1239" t="str">
        <f>Content!A7</f>
        <v>Part description:</v>
      </c>
      <c r="S35" s="1240"/>
      <c r="T35" s="1240"/>
      <c r="U35" s="1240"/>
      <c r="V35" s="1240"/>
      <c r="W35" s="1240"/>
      <c r="X35" s="1240"/>
      <c r="Y35" s="938"/>
      <c r="Z35" s="938"/>
      <c r="AA35" s="938"/>
      <c r="AB35" s="938"/>
      <c r="AC35" s="938"/>
      <c r="AD35" s="938"/>
      <c r="AE35" s="938"/>
      <c r="AF35" s="938"/>
      <c r="AG35" s="938"/>
      <c r="AH35" s="938"/>
      <c r="AI35" s="938"/>
      <c r="AJ35" s="938"/>
      <c r="AK35" s="938"/>
      <c r="AL35" s="938"/>
      <c r="AM35" s="938"/>
      <c r="AN35" s="939"/>
      <c r="AO35" s="113"/>
      <c r="AP35" s="113"/>
      <c r="AQ35" s="113"/>
      <c r="AR35" s="113"/>
      <c r="AS35" s="113"/>
      <c r="AT35" s="113"/>
      <c r="AU35" s="113"/>
      <c r="AV35" s="113"/>
      <c r="AW35" s="113"/>
      <c r="AX35" s="113"/>
      <c r="AY35" s="113"/>
      <c r="AZ35" s="113"/>
      <c r="BA35" s="113"/>
      <c r="BB35" s="113"/>
      <c r="BC35" s="113"/>
      <c r="BD35" s="113"/>
      <c r="BE35" s="113"/>
      <c r="BF35" s="113"/>
      <c r="BG35" s="113"/>
      <c r="BH35" s="113"/>
      <c r="BI35" s="113"/>
      <c r="BJ35" s="113"/>
      <c r="BK35" s="113"/>
      <c r="BL35" s="113"/>
      <c r="BM35" s="113"/>
      <c r="BN35" s="113"/>
      <c r="BO35" s="113"/>
      <c r="BP35" s="113"/>
      <c r="BQ35" s="113"/>
      <c r="BR35" s="113"/>
    </row>
    <row r="36" spans="1:70" ht="16.5" customHeight="1">
      <c r="A36" s="1242" t="str">
        <f>Cover!B43</f>
        <v>Part number:</v>
      </c>
      <c r="B36" s="1243"/>
      <c r="C36" s="1243"/>
      <c r="D36" s="1243"/>
      <c r="E36" s="1243"/>
      <c r="F36" s="1243"/>
      <c r="G36" s="1119">
        <f>Cover!G43</f>
        <v>0</v>
      </c>
      <c r="H36" s="1119"/>
      <c r="I36" s="1119"/>
      <c r="J36" s="1119"/>
      <c r="K36" s="1119"/>
      <c r="L36" s="1119"/>
      <c r="M36" s="1119"/>
      <c r="N36" s="1119"/>
      <c r="O36" s="1119"/>
      <c r="P36" s="1119"/>
      <c r="Q36" s="1120"/>
      <c r="R36" s="1242" t="str">
        <f>A36</f>
        <v>Part number:</v>
      </c>
      <c r="S36" s="1243"/>
      <c r="T36" s="1243"/>
      <c r="U36" s="1243"/>
      <c r="V36" s="1243"/>
      <c r="W36" s="1243"/>
      <c r="X36" s="1243"/>
      <c r="Y36" s="1119"/>
      <c r="Z36" s="1119"/>
      <c r="AA36" s="1119"/>
      <c r="AB36" s="1119"/>
      <c r="AC36" s="1119"/>
      <c r="AD36" s="1119"/>
      <c r="AE36" s="1119"/>
      <c r="AF36" s="1119"/>
      <c r="AG36" s="1119"/>
      <c r="AH36" s="1119"/>
      <c r="AI36" s="1119"/>
      <c r="AJ36" s="1119"/>
      <c r="AK36" s="1119"/>
      <c r="AL36" s="1119"/>
      <c r="AM36" s="1119"/>
      <c r="AN36" s="1120"/>
      <c r="AO36" s="113"/>
      <c r="AP36" s="113"/>
      <c r="AQ36" s="113"/>
      <c r="AR36" s="113"/>
      <c r="AS36" s="113"/>
      <c r="AT36" s="113"/>
      <c r="AU36" s="113"/>
      <c r="AV36" s="113"/>
      <c r="AW36" s="113"/>
      <c r="AX36" s="113"/>
      <c r="AY36" s="113"/>
      <c r="AZ36" s="113"/>
      <c r="BA36" s="113"/>
      <c r="BB36" s="113"/>
      <c r="BC36" s="113"/>
      <c r="BD36" s="113"/>
      <c r="BE36" s="113"/>
      <c r="BF36" s="113"/>
      <c r="BG36" s="113"/>
      <c r="BH36" s="113"/>
      <c r="BI36" s="113"/>
      <c r="BJ36" s="113"/>
      <c r="BK36" s="113"/>
      <c r="BL36" s="113"/>
      <c r="BM36" s="113"/>
      <c r="BN36" s="113"/>
      <c r="BO36" s="113"/>
      <c r="BP36" s="113"/>
      <c r="BQ36" s="113"/>
      <c r="BR36" s="113"/>
    </row>
    <row r="37" spans="1:70" ht="16.5" customHeight="1">
      <c r="A37" s="1242" t="str">
        <f>Content!Q7</f>
        <v>Drawing number:</v>
      </c>
      <c r="B37" s="1243"/>
      <c r="C37" s="1243"/>
      <c r="D37" s="1243"/>
      <c r="E37" s="1243"/>
      <c r="F37" s="1243"/>
      <c r="G37" s="1243"/>
      <c r="H37" s="1119">
        <f>Cover!G44</f>
        <v>0</v>
      </c>
      <c r="I37" s="1119"/>
      <c r="J37" s="1119"/>
      <c r="K37" s="1119"/>
      <c r="L37" s="1119"/>
      <c r="M37" s="1119"/>
      <c r="N37" s="1119"/>
      <c r="O37" s="1119"/>
      <c r="P37" s="1119"/>
      <c r="Q37" s="1120"/>
      <c r="R37" s="1242" t="str">
        <f>Content!Q7</f>
        <v>Drawing number:</v>
      </c>
      <c r="S37" s="1243"/>
      <c r="T37" s="1243"/>
      <c r="U37" s="1243"/>
      <c r="V37" s="1243"/>
      <c r="W37" s="1243"/>
      <c r="X37" s="1243"/>
      <c r="Y37" s="1243"/>
      <c r="Z37" s="1243"/>
      <c r="AA37" s="1119"/>
      <c r="AB37" s="1119"/>
      <c r="AC37" s="1119"/>
      <c r="AD37" s="1119"/>
      <c r="AE37" s="1119"/>
      <c r="AF37" s="1119"/>
      <c r="AG37" s="1119"/>
      <c r="AH37" s="1119"/>
      <c r="AI37" s="1119"/>
      <c r="AJ37" s="1119"/>
      <c r="AK37" s="1119"/>
      <c r="AL37" s="1119"/>
      <c r="AM37" s="1119"/>
      <c r="AN37" s="1120"/>
      <c r="AO37" s="113"/>
      <c r="AP37" s="113"/>
      <c r="AQ37" s="113"/>
      <c r="AR37" s="113"/>
      <c r="AS37" s="113"/>
      <c r="AT37" s="113"/>
      <c r="AU37" s="113"/>
      <c r="AV37" s="113"/>
      <c r="AW37" s="113"/>
      <c r="AX37" s="113"/>
      <c r="AY37" s="113"/>
      <c r="AZ37" s="113"/>
      <c r="BA37" s="113"/>
      <c r="BB37" s="113"/>
      <c r="BC37" s="113"/>
      <c r="BD37" s="113"/>
      <c r="BE37" s="113"/>
      <c r="BF37" s="113"/>
      <c r="BG37" s="113"/>
      <c r="BH37" s="113"/>
      <c r="BI37" s="113"/>
      <c r="BJ37" s="113"/>
      <c r="BK37" s="113"/>
      <c r="BL37" s="113"/>
      <c r="BM37" s="113"/>
      <c r="BN37" s="113"/>
      <c r="BO37" s="113"/>
      <c r="BP37" s="113"/>
      <c r="BQ37" s="113"/>
      <c r="BR37" s="113"/>
    </row>
    <row r="38" spans="1:70" ht="16.5" customHeight="1" thickBot="1">
      <c r="A38" s="1272" t="str">
        <f>Content!Q8</f>
        <v>Issue / Date:</v>
      </c>
      <c r="B38" s="1273"/>
      <c r="C38" s="1273"/>
      <c r="D38" s="1273"/>
      <c r="E38" s="1273"/>
      <c r="F38" s="1273"/>
      <c r="G38" s="940">
        <f>Cover!G45</f>
        <v>0</v>
      </c>
      <c r="H38" s="940"/>
      <c r="I38" s="940"/>
      <c r="J38" s="940"/>
      <c r="K38" s="940"/>
      <c r="L38" s="940"/>
      <c r="M38" s="940"/>
      <c r="N38" s="940"/>
      <c r="O38" s="940"/>
      <c r="P38" s="940"/>
      <c r="Q38" s="941"/>
      <c r="R38" s="1272" t="str">
        <f>Content!Q8</f>
        <v>Issue / Date:</v>
      </c>
      <c r="S38" s="1273"/>
      <c r="T38" s="1273"/>
      <c r="U38" s="1273"/>
      <c r="V38" s="1273"/>
      <c r="W38" s="1273"/>
      <c r="X38" s="1273"/>
      <c r="Y38" s="940"/>
      <c r="Z38" s="940"/>
      <c r="AA38" s="940"/>
      <c r="AB38" s="940"/>
      <c r="AC38" s="940"/>
      <c r="AD38" s="940"/>
      <c r="AE38" s="940"/>
      <c r="AF38" s="940"/>
      <c r="AG38" s="940"/>
      <c r="AH38" s="940"/>
      <c r="AI38" s="940"/>
      <c r="AJ38" s="940"/>
      <c r="AK38" s="940"/>
      <c r="AL38" s="940"/>
      <c r="AM38" s="940"/>
      <c r="AN38" s="941"/>
      <c r="AO38" s="113"/>
      <c r="AP38" s="113"/>
      <c r="AQ38" s="113"/>
      <c r="AR38" s="113"/>
      <c r="AS38" s="113"/>
      <c r="AT38" s="113"/>
      <c r="AU38" s="113"/>
      <c r="AV38" s="113"/>
      <c r="AW38" s="113"/>
      <c r="AX38" s="113"/>
      <c r="AY38" s="113"/>
      <c r="AZ38" s="113"/>
      <c r="BA38" s="113"/>
      <c r="BB38" s="113"/>
      <c r="BC38" s="113"/>
      <c r="BD38" s="113"/>
      <c r="BE38" s="113"/>
      <c r="BF38" s="113"/>
      <c r="BG38" s="113"/>
      <c r="BH38" s="113"/>
      <c r="BI38" s="113"/>
      <c r="BJ38" s="113"/>
      <c r="BK38" s="113"/>
      <c r="BL38" s="113"/>
      <c r="BM38" s="113"/>
      <c r="BN38" s="113"/>
      <c r="BO38" s="113"/>
      <c r="BP38" s="113"/>
      <c r="BQ38" s="113"/>
      <c r="BR38" s="113"/>
    </row>
    <row r="39" spans="1:70" ht="3" customHeight="1" thickBot="1">
      <c r="A39" s="130"/>
      <c r="B39" s="130"/>
      <c r="C39" s="130"/>
      <c r="D39" s="130"/>
      <c r="E39" s="130"/>
      <c r="F39" s="130"/>
      <c r="G39" s="131"/>
      <c r="H39" s="131"/>
      <c r="I39" s="131"/>
      <c r="J39" s="131"/>
      <c r="K39" s="131"/>
      <c r="L39" s="131"/>
      <c r="M39" s="131"/>
      <c r="N39" s="131"/>
      <c r="O39" s="131"/>
      <c r="P39" s="131"/>
      <c r="Q39" s="131"/>
      <c r="R39" s="130"/>
      <c r="S39" s="130"/>
      <c r="T39" s="130"/>
      <c r="U39" s="130"/>
      <c r="V39" s="130"/>
      <c r="W39" s="130"/>
      <c r="X39" s="130"/>
      <c r="Y39" s="131"/>
      <c r="Z39" s="131"/>
      <c r="AA39" s="131"/>
      <c r="AB39" s="131"/>
      <c r="AC39" s="131"/>
      <c r="AD39" s="131"/>
      <c r="AE39" s="131"/>
      <c r="AF39" s="131"/>
      <c r="AG39" s="131"/>
      <c r="AH39" s="131"/>
      <c r="AI39" s="131"/>
      <c r="AJ39" s="131"/>
      <c r="AK39" s="131"/>
      <c r="AL39" s="131"/>
      <c r="AM39" s="131"/>
      <c r="AN39" s="131"/>
      <c r="AO39" s="113"/>
      <c r="AP39" s="113"/>
      <c r="AQ39" s="113"/>
      <c r="AR39" s="113"/>
      <c r="AS39" s="113"/>
      <c r="AT39" s="113"/>
      <c r="AU39" s="113"/>
      <c r="AV39" s="113"/>
      <c r="AW39" s="113"/>
      <c r="AX39" s="113"/>
      <c r="AY39" s="113"/>
      <c r="AZ39" s="113"/>
      <c r="BA39" s="113"/>
      <c r="BB39" s="113"/>
      <c r="BC39" s="113"/>
      <c r="BD39" s="113"/>
      <c r="BE39" s="113"/>
      <c r="BF39" s="113"/>
      <c r="BG39" s="113"/>
      <c r="BH39" s="113"/>
      <c r="BI39" s="113"/>
      <c r="BJ39" s="113"/>
      <c r="BK39" s="113"/>
      <c r="BL39" s="113"/>
      <c r="BM39" s="113"/>
      <c r="BN39" s="113"/>
      <c r="BO39" s="113"/>
      <c r="BP39" s="113"/>
      <c r="BQ39" s="113"/>
      <c r="BR39" s="113"/>
    </row>
    <row r="40" spans="1:70" ht="24" customHeight="1">
      <c r="A40" s="1287" t="str">
        <f>VLOOKUP("ref nr",Translations!$A:$T,MATCH(Cover!DR19,Translations!A2:P2,0),0)</f>
        <v>Ref. No.</v>
      </c>
      <c r="B40" s="1278"/>
      <c r="C40" s="1278"/>
      <c r="D40" s="1279"/>
      <c r="E40" s="1277" t="str">
        <f>VLOOKUP("Characteristic/nominal value/unit",Translations!$A:$T,MATCH(Cover!DR19,Translations!A2:P2,0),0)</f>
        <v>Characteristic / nominal value / unit</v>
      </c>
      <c r="F40" s="1278"/>
      <c r="G40" s="1278"/>
      <c r="H40" s="1278"/>
      <c r="I40" s="1278"/>
      <c r="J40" s="1277" t="str">
        <f>VLOOKUP("inspection methode",Translations!$A:$T,MATCH(Cover!DR19,Translations!A2:P2,0),0)</f>
        <v>Inspection methode</v>
      </c>
      <c r="K40" s="1278"/>
      <c r="L40" s="1278"/>
      <c r="M40" s="1278"/>
      <c r="N40" s="1279"/>
      <c r="O40" s="1274" t="str">
        <f>VLOOKUP("prozess stabil",Translations!$A:$T,MATCH(Cover!DR19,Translations!A2:P2,0),0)</f>
        <v>Process stable</v>
      </c>
      <c r="P40" s="1275"/>
      <c r="Q40" s="1275"/>
      <c r="R40" s="1275"/>
      <c r="S40" s="1275"/>
      <c r="T40" s="1275"/>
      <c r="U40" s="1275"/>
      <c r="V40" s="1276"/>
      <c r="W40" s="1323" t="s">
        <v>1159</v>
      </c>
      <c r="X40" s="1276"/>
      <c r="Y40" s="1277" t="s">
        <v>1160</v>
      </c>
      <c r="Z40" s="1324"/>
      <c r="AA40" s="1275" t="str">
        <f>VLOOKUP("bemerkungen",Translations!$A:$T,MATCH(Cover!DR19,Translations!A2:P2,0),0)</f>
        <v>Comments:</v>
      </c>
      <c r="AB40" s="1275"/>
      <c r="AC40" s="1275"/>
      <c r="AD40" s="1275"/>
      <c r="AE40" s="1275"/>
      <c r="AF40" s="1275"/>
      <c r="AG40" s="1275"/>
      <c r="AH40" s="1275"/>
      <c r="AI40" s="1275"/>
      <c r="AJ40" s="1275"/>
      <c r="AK40" s="1275"/>
      <c r="AL40" s="1275"/>
      <c r="AM40" s="1275"/>
      <c r="AN40" s="1327"/>
      <c r="AO40" s="113"/>
      <c r="AP40" s="113"/>
      <c r="AQ40" s="113"/>
      <c r="AR40" s="113"/>
      <c r="AS40" s="113"/>
      <c r="AT40" s="113"/>
      <c r="AU40" s="113"/>
      <c r="AV40" s="113"/>
      <c r="AW40" s="113"/>
      <c r="AX40" s="113"/>
      <c r="AY40" s="113"/>
      <c r="AZ40" s="113"/>
      <c r="BA40" s="113"/>
      <c r="BB40" s="113"/>
      <c r="BC40" s="113"/>
      <c r="BD40" s="113"/>
      <c r="BE40" s="113"/>
      <c r="BF40" s="113"/>
      <c r="BG40" s="113"/>
      <c r="BH40" s="113"/>
      <c r="BI40" s="113"/>
      <c r="BJ40" s="113"/>
      <c r="BK40" s="113"/>
      <c r="BL40" s="113"/>
      <c r="BM40" s="113"/>
      <c r="BN40" s="113"/>
      <c r="BO40" s="113"/>
      <c r="BP40" s="113"/>
      <c r="BQ40" s="113"/>
      <c r="BR40" s="113"/>
    </row>
    <row r="41" spans="1:70" ht="24" customHeight="1" thickBot="1">
      <c r="A41" s="1288"/>
      <c r="B41" s="1281"/>
      <c r="C41" s="1281"/>
      <c r="D41" s="1282"/>
      <c r="E41" s="1280"/>
      <c r="F41" s="1281"/>
      <c r="G41" s="1281"/>
      <c r="H41" s="1281"/>
      <c r="I41" s="1281"/>
      <c r="J41" s="1280"/>
      <c r="K41" s="1281"/>
      <c r="L41" s="1281"/>
      <c r="M41" s="1281"/>
      <c r="N41" s="1282"/>
      <c r="O41" s="1283" t="str">
        <f>VLOOKUP("ja",Translations!$A:$T,MATCH(Cover!DR19,Translations!A2:P2,0),0)</f>
        <v>Yes</v>
      </c>
      <c r="P41" s="1284"/>
      <c r="Q41" s="1285"/>
      <c r="R41" s="1283" t="str">
        <f>VLOOKUP("nein",Translations!$A:$T,MATCH(Cover!DR19,Translations!A2:P2,0),0)</f>
        <v>No</v>
      </c>
      <c r="S41" s="1284"/>
      <c r="T41" s="1284"/>
      <c r="U41" s="1284"/>
      <c r="V41" s="1285"/>
      <c r="W41" s="1283"/>
      <c r="X41" s="1285"/>
      <c r="Y41" s="1325"/>
      <c r="Z41" s="1326"/>
      <c r="AA41" s="1284"/>
      <c r="AB41" s="1284"/>
      <c r="AC41" s="1284"/>
      <c r="AD41" s="1284"/>
      <c r="AE41" s="1284"/>
      <c r="AF41" s="1284"/>
      <c r="AG41" s="1284"/>
      <c r="AH41" s="1284"/>
      <c r="AI41" s="1284"/>
      <c r="AJ41" s="1284"/>
      <c r="AK41" s="1284"/>
      <c r="AL41" s="1284"/>
      <c r="AM41" s="1284"/>
      <c r="AN41" s="1328"/>
      <c r="AO41" s="113"/>
      <c r="AP41" s="113"/>
      <c r="AQ41" s="113"/>
      <c r="AR41" s="113"/>
      <c r="AS41" s="113"/>
      <c r="AT41" s="113"/>
      <c r="AU41" s="113"/>
      <c r="AV41" s="113"/>
      <c r="AW41" s="113"/>
      <c r="AX41" s="113"/>
      <c r="AY41" s="113"/>
      <c r="AZ41" s="113"/>
      <c r="BA41" s="113"/>
      <c r="BB41" s="113"/>
      <c r="BC41" s="113"/>
      <c r="BD41" s="113"/>
      <c r="BE41" s="113"/>
      <c r="BF41" s="113"/>
      <c r="BG41" s="113"/>
      <c r="BH41" s="113"/>
      <c r="BI41" s="113"/>
      <c r="BJ41" s="113"/>
      <c r="BK41" s="113"/>
      <c r="BL41" s="113"/>
      <c r="BM41" s="113"/>
      <c r="BN41" s="113"/>
      <c r="BO41" s="113"/>
      <c r="BP41" s="113"/>
      <c r="BQ41" s="113"/>
      <c r="BR41" s="113"/>
    </row>
    <row r="42" spans="1:70" ht="20.25" customHeight="1">
      <c r="A42" s="1286"/>
      <c r="B42" s="1259"/>
      <c r="C42" s="1259"/>
      <c r="D42" s="1260"/>
      <c r="E42" s="1258"/>
      <c r="F42" s="1259"/>
      <c r="G42" s="1259"/>
      <c r="H42" s="1259"/>
      <c r="I42" s="1259"/>
      <c r="J42" s="1258"/>
      <c r="K42" s="1259"/>
      <c r="L42" s="1259"/>
      <c r="M42" s="1259"/>
      <c r="N42" s="1259"/>
      <c r="O42" s="1258"/>
      <c r="P42" s="1259"/>
      <c r="Q42" s="1259"/>
      <c r="R42" s="1258"/>
      <c r="S42" s="1259"/>
      <c r="T42" s="1259"/>
      <c r="U42" s="1259"/>
      <c r="V42" s="1260"/>
      <c r="W42" s="1289"/>
      <c r="X42" s="1290"/>
      <c r="Y42" s="1289"/>
      <c r="Z42" s="1290"/>
      <c r="AA42" s="1329"/>
      <c r="AB42" s="1330"/>
      <c r="AC42" s="1330"/>
      <c r="AD42" s="1330"/>
      <c r="AE42" s="1330"/>
      <c r="AF42" s="1330"/>
      <c r="AG42" s="1330"/>
      <c r="AH42" s="1330"/>
      <c r="AI42" s="1330"/>
      <c r="AJ42" s="1330"/>
      <c r="AK42" s="1330"/>
      <c r="AL42" s="1330"/>
      <c r="AM42" s="1330"/>
      <c r="AN42" s="1331"/>
      <c r="AO42" s="113"/>
      <c r="AP42" s="113"/>
      <c r="AQ42" s="113"/>
      <c r="AR42" s="113"/>
      <c r="AS42" s="113"/>
      <c r="AT42" s="113"/>
      <c r="AU42" s="113"/>
      <c r="AV42" s="113"/>
      <c r="AW42" s="113"/>
      <c r="AX42" s="113"/>
      <c r="AY42" s="113"/>
      <c r="AZ42" s="113"/>
      <c r="BA42" s="113"/>
      <c r="BB42" s="113"/>
      <c r="BC42" s="113"/>
      <c r="BD42" s="113"/>
      <c r="BE42" s="113"/>
      <c r="BF42" s="113"/>
      <c r="BG42" s="113"/>
      <c r="BH42" s="113"/>
      <c r="BI42" s="113"/>
      <c r="BJ42" s="113"/>
      <c r="BK42" s="113"/>
      <c r="BL42" s="113"/>
      <c r="BM42" s="113"/>
      <c r="BN42" s="113"/>
      <c r="BO42" s="113"/>
      <c r="BP42" s="113"/>
      <c r="BQ42" s="113"/>
      <c r="BR42" s="113"/>
    </row>
    <row r="43" spans="1:70" ht="20.25" customHeight="1">
      <c r="A43" s="1257"/>
      <c r="B43" s="1227"/>
      <c r="C43" s="1227"/>
      <c r="D43" s="1248"/>
      <c r="E43" s="1226"/>
      <c r="F43" s="1227"/>
      <c r="G43" s="1227"/>
      <c r="H43" s="1227"/>
      <c r="I43" s="1227"/>
      <c r="J43" s="1226"/>
      <c r="K43" s="1227"/>
      <c r="L43" s="1227"/>
      <c r="M43" s="1227"/>
      <c r="N43" s="1227"/>
      <c r="O43" s="1226"/>
      <c r="P43" s="1227"/>
      <c r="Q43" s="1227"/>
      <c r="R43" s="1226"/>
      <c r="S43" s="1227"/>
      <c r="T43" s="1227"/>
      <c r="U43" s="1227"/>
      <c r="V43" s="1248"/>
      <c r="W43" s="1270"/>
      <c r="X43" s="1271"/>
      <c r="Y43" s="1270"/>
      <c r="Z43" s="1271"/>
      <c r="AA43" s="1317"/>
      <c r="AB43" s="1318"/>
      <c r="AC43" s="1318"/>
      <c r="AD43" s="1318"/>
      <c r="AE43" s="1318"/>
      <c r="AF43" s="1318"/>
      <c r="AG43" s="1318"/>
      <c r="AH43" s="1318"/>
      <c r="AI43" s="1318"/>
      <c r="AJ43" s="1318"/>
      <c r="AK43" s="1318"/>
      <c r="AL43" s="1318"/>
      <c r="AM43" s="1318"/>
      <c r="AN43" s="1319"/>
      <c r="AO43" s="113"/>
      <c r="AP43" s="113"/>
      <c r="AQ43" s="113"/>
      <c r="AR43" s="113"/>
      <c r="AS43" s="113"/>
      <c r="AT43" s="113"/>
      <c r="AU43" s="113"/>
      <c r="AV43" s="113"/>
      <c r="AW43" s="113"/>
      <c r="AX43" s="113"/>
      <c r="AY43" s="113"/>
      <c r="AZ43" s="113"/>
      <c r="BA43" s="113"/>
      <c r="BB43" s="113"/>
      <c r="BC43" s="113"/>
      <c r="BD43" s="113"/>
      <c r="BE43" s="113"/>
      <c r="BF43" s="113"/>
      <c r="BG43" s="113"/>
      <c r="BH43" s="113"/>
      <c r="BI43" s="113"/>
      <c r="BJ43" s="113"/>
      <c r="BK43" s="113"/>
      <c r="BL43" s="113"/>
      <c r="BM43" s="113"/>
      <c r="BN43" s="113"/>
      <c r="BO43" s="113"/>
      <c r="BP43" s="113"/>
      <c r="BQ43" s="113"/>
      <c r="BR43" s="113"/>
    </row>
    <row r="44" spans="1:70" ht="20.25" customHeight="1">
      <c r="A44" s="1257"/>
      <c r="B44" s="1227"/>
      <c r="C44" s="1227"/>
      <c r="D44" s="1248"/>
      <c r="E44" s="1226"/>
      <c r="F44" s="1227"/>
      <c r="G44" s="1227"/>
      <c r="H44" s="1227"/>
      <c r="I44" s="1227"/>
      <c r="J44" s="1226"/>
      <c r="K44" s="1227"/>
      <c r="L44" s="1227"/>
      <c r="M44" s="1227"/>
      <c r="N44" s="1227"/>
      <c r="O44" s="1226"/>
      <c r="P44" s="1227"/>
      <c r="Q44" s="1227"/>
      <c r="R44" s="1226"/>
      <c r="S44" s="1227"/>
      <c r="T44" s="1227"/>
      <c r="U44" s="1227"/>
      <c r="V44" s="1248"/>
      <c r="W44" s="1270"/>
      <c r="X44" s="1271"/>
      <c r="Y44" s="1270"/>
      <c r="Z44" s="1271"/>
      <c r="AA44" s="1317"/>
      <c r="AB44" s="1318"/>
      <c r="AC44" s="1318"/>
      <c r="AD44" s="1318"/>
      <c r="AE44" s="1318"/>
      <c r="AF44" s="1318"/>
      <c r="AG44" s="1318"/>
      <c r="AH44" s="1318"/>
      <c r="AI44" s="1318"/>
      <c r="AJ44" s="1318"/>
      <c r="AK44" s="1318"/>
      <c r="AL44" s="1318"/>
      <c r="AM44" s="1318"/>
      <c r="AN44" s="1319"/>
      <c r="AO44" s="113"/>
      <c r="AP44" s="113"/>
      <c r="AQ44" s="113"/>
      <c r="AR44" s="113"/>
      <c r="AS44" s="113"/>
      <c r="AT44" s="113"/>
      <c r="AU44" s="113"/>
      <c r="AV44" s="113"/>
      <c r="AW44" s="113"/>
      <c r="AX44" s="113"/>
      <c r="AY44" s="113"/>
      <c r="AZ44" s="113"/>
      <c r="BA44" s="113"/>
      <c r="BB44" s="113"/>
      <c r="BC44" s="113"/>
      <c r="BD44" s="113"/>
      <c r="BE44" s="113"/>
      <c r="BF44" s="113"/>
      <c r="BG44" s="113"/>
      <c r="BH44" s="113"/>
      <c r="BI44" s="113"/>
      <c r="BJ44" s="113"/>
      <c r="BK44" s="113"/>
      <c r="BL44" s="113"/>
      <c r="BM44" s="113"/>
      <c r="BN44" s="113"/>
      <c r="BO44" s="113"/>
      <c r="BP44" s="113"/>
      <c r="BQ44" s="113"/>
      <c r="BR44" s="113"/>
    </row>
    <row r="45" spans="1:70" ht="20.25" customHeight="1">
      <c r="A45" s="1257"/>
      <c r="B45" s="1227"/>
      <c r="C45" s="1227"/>
      <c r="D45" s="1248"/>
      <c r="E45" s="1226"/>
      <c r="F45" s="1227"/>
      <c r="G45" s="1227"/>
      <c r="H45" s="1227"/>
      <c r="I45" s="1227"/>
      <c r="J45" s="1226"/>
      <c r="K45" s="1227"/>
      <c r="L45" s="1227"/>
      <c r="M45" s="1227"/>
      <c r="N45" s="1227"/>
      <c r="O45" s="1226"/>
      <c r="P45" s="1227"/>
      <c r="Q45" s="1227"/>
      <c r="R45" s="1226"/>
      <c r="S45" s="1227"/>
      <c r="T45" s="1227"/>
      <c r="U45" s="1227"/>
      <c r="V45" s="1248"/>
      <c r="W45" s="1270"/>
      <c r="X45" s="1271"/>
      <c r="Y45" s="1270"/>
      <c r="Z45" s="1271"/>
      <c r="AA45" s="1317"/>
      <c r="AB45" s="1318"/>
      <c r="AC45" s="1318"/>
      <c r="AD45" s="1318"/>
      <c r="AE45" s="1318"/>
      <c r="AF45" s="1318"/>
      <c r="AG45" s="1318"/>
      <c r="AH45" s="1318"/>
      <c r="AI45" s="1318"/>
      <c r="AJ45" s="1318"/>
      <c r="AK45" s="1318"/>
      <c r="AL45" s="1318"/>
      <c r="AM45" s="1318"/>
      <c r="AN45" s="1319"/>
      <c r="AO45" s="113"/>
      <c r="AP45" s="113"/>
      <c r="AQ45" s="113"/>
      <c r="AR45" s="113"/>
      <c r="AS45" s="113"/>
      <c r="AT45" s="113"/>
      <c r="AU45" s="113"/>
      <c r="AV45" s="113"/>
      <c r="AW45" s="113"/>
      <c r="AX45" s="113"/>
      <c r="AY45" s="113"/>
      <c r="AZ45" s="113"/>
      <c r="BA45" s="113"/>
      <c r="BB45" s="113"/>
      <c r="BC45" s="113"/>
      <c r="BD45" s="113"/>
      <c r="BE45" s="113"/>
      <c r="BF45" s="113"/>
      <c r="BG45" s="113"/>
      <c r="BH45" s="113"/>
      <c r="BI45" s="113"/>
      <c r="BJ45" s="113"/>
      <c r="BK45" s="113"/>
      <c r="BL45" s="113"/>
      <c r="BM45" s="113"/>
      <c r="BN45" s="113"/>
      <c r="BO45" s="113"/>
      <c r="BP45" s="113"/>
      <c r="BQ45" s="113"/>
      <c r="BR45" s="113"/>
    </row>
    <row r="46" spans="1:70" ht="20.25" customHeight="1">
      <c r="A46" s="1257"/>
      <c r="B46" s="1227"/>
      <c r="C46" s="1227"/>
      <c r="D46" s="1248"/>
      <c r="E46" s="1226"/>
      <c r="F46" s="1227"/>
      <c r="G46" s="1227"/>
      <c r="H46" s="1227"/>
      <c r="I46" s="1227"/>
      <c r="J46" s="1226"/>
      <c r="K46" s="1227"/>
      <c r="L46" s="1227"/>
      <c r="M46" s="1227"/>
      <c r="N46" s="1227"/>
      <c r="O46" s="1226"/>
      <c r="P46" s="1227"/>
      <c r="Q46" s="1227"/>
      <c r="R46" s="1226"/>
      <c r="S46" s="1227"/>
      <c r="T46" s="1227"/>
      <c r="U46" s="1227"/>
      <c r="V46" s="1248"/>
      <c r="W46" s="1270"/>
      <c r="X46" s="1271"/>
      <c r="Y46" s="1270"/>
      <c r="Z46" s="1271"/>
      <c r="AA46" s="1317"/>
      <c r="AB46" s="1318"/>
      <c r="AC46" s="1318"/>
      <c r="AD46" s="1318"/>
      <c r="AE46" s="1318"/>
      <c r="AF46" s="1318"/>
      <c r="AG46" s="1318"/>
      <c r="AH46" s="1318"/>
      <c r="AI46" s="1318"/>
      <c r="AJ46" s="1318"/>
      <c r="AK46" s="1318"/>
      <c r="AL46" s="1318"/>
      <c r="AM46" s="1318"/>
      <c r="AN46" s="1319"/>
      <c r="AO46" s="113"/>
      <c r="AP46" s="113"/>
      <c r="AQ46" s="113"/>
      <c r="AR46" s="113"/>
      <c r="AS46" s="113"/>
      <c r="AT46" s="113"/>
      <c r="AU46" s="113"/>
      <c r="AV46" s="113"/>
      <c r="AW46" s="113"/>
      <c r="AX46" s="113"/>
      <c r="AY46" s="113"/>
      <c r="AZ46" s="113"/>
      <c r="BA46" s="113"/>
      <c r="BB46" s="113"/>
      <c r="BC46" s="113"/>
      <c r="BD46" s="113"/>
      <c r="BE46" s="113"/>
      <c r="BF46" s="113"/>
      <c r="BG46" s="113"/>
      <c r="BH46" s="113"/>
      <c r="BI46" s="113"/>
      <c r="BJ46" s="113"/>
      <c r="BK46" s="113"/>
      <c r="BL46" s="113"/>
      <c r="BM46" s="113"/>
      <c r="BN46" s="113"/>
      <c r="BO46" s="113"/>
      <c r="BP46" s="113"/>
      <c r="BQ46" s="113"/>
      <c r="BR46" s="113"/>
    </row>
    <row r="47" spans="1:70" ht="20.25" customHeight="1">
      <c r="A47" s="1257"/>
      <c r="B47" s="1227"/>
      <c r="C47" s="1227"/>
      <c r="D47" s="1248"/>
      <c r="E47" s="1226"/>
      <c r="F47" s="1227"/>
      <c r="G47" s="1227"/>
      <c r="H47" s="1227"/>
      <c r="I47" s="1227"/>
      <c r="J47" s="1226"/>
      <c r="K47" s="1227"/>
      <c r="L47" s="1227"/>
      <c r="M47" s="1227"/>
      <c r="N47" s="1227"/>
      <c r="O47" s="1226"/>
      <c r="P47" s="1227"/>
      <c r="Q47" s="1227"/>
      <c r="R47" s="1226"/>
      <c r="S47" s="1227"/>
      <c r="T47" s="1227"/>
      <c r="U47" s="1227"/>
      <c r="V47" s="1248"/>
      <c r="W47" s="1270"/>
      <c r="X47" s="1271"/>
      <c r="Y47" s="1270"/>
      <c r="Z47" s="1271"/>
      <c r="AA47" s="1317"/>
      <c r="AB47" s="1318"/>
      <c r="AC47" s="1318"/>
      <c r="AD47" s="1318"/>
      <c r="AE47" s="1318"/>
      <c r="AF47" s="1318"/>
      <c r="AG47" s="1318"/>
      <c r="AH47" s="1318"/>
      <c r="AI47" s="1318"/>
      <c r="AJ47" s="1318"/>
      <c r="AK47" s="1318"/>
      <c r="AL47" s="1318"/>
      <c r="AM47" s="1318"/>
      <c r="AN47" s="1319"/>
      <c r="AO47" s="113"/>
      <c r="AP47" s="113"/>
      <c r="AQ47" s="113"/>
      <c r="AR47" s="113"/>
      <c r="AS47" s="113"/>
      <c r="AT47" s="113"/>
      <c r="AU47" s="113"/>
      <c r="AV47" s="113"/>
      <c r="AW47" s="113"/>
      <c r="AX47" s="113"/>
      <c r="AY47" s="113"/>
      <c r="AZ47" s="113"/>
      <c r="BA47" s="113"/>
      <c r="BB47" s="113"/>
      <c r="BC47" s="113"/>
      <c r="BD47" s="113"/>
      <c r="BE47" s="113"/>
      <c r="BF47" s="113"/>
      <c r="BG47" s="113"/>
      <c r="BH47" s="113"/>
      <c r="BI47" s="113"/>
      <c r="BJ47" s="113"/>
      <c r="BK47" s="113"/>
      <c r="BL47" s="113"/>
      <c r="BM47" s="113"/>
      <c r="BN47" s="113"/>
      <c r="BO47" s="113"/>
      <c r="BP47" s="113"/>
      <c r="BQ47" s="113"/>
      <c r="BR47" s="113"/>
    </row>
    <row r="48" spans="1:70" ht="20.25" customHeight="1">
      <c r="A48" s="1257"/>
      <c r="B48" s="1227"/>
      <c r="C48" s="1227"/>
      <c r="D48" s="1248"/>
      <c r="E48" s="1226"/>
      <c r="F48" s="1227"/>
      <c r="G48" s="1227"/>
      <c r="H48" s="1227"/>
      <c r="I48" s="1227"/>
      <c r="J48" s="1226"/>
      <c r="K48" s="1227"/>
      <c r="L48" s="1227"/>
      <c r="M48" s="1227"/>
      <c r="N48" s="1227"/>
      <c r="O48" s="1226"/>
      <c r="P48" s="1227"/>
      <c r="Q48" s="1227"/>
      <c r="R48" s="1226"/>
      <c r="S48" s="1227"/>
      <c r="T48" s="1227"/>
      <c r="U48" s="1227"/>
      <c r="V48" s="1248"/>
      <c r="W48" s="1270"/>
      <c r="X48" s="1271"/>
      <c r="Y48" s="1270"/>
      <c r="Z48" s="1271"/>
      <c r="AA48" s="1317"/>
      <c r="AB48" s="1318"/>
      <c r="AC48" s="1318"/>
      <c r="AD48" s="1318"/>
      <c r="AE48" s="1318"/>
      <c r="AF48" s="1318"/>
      <c r="AG48" s="1318"/>
      <c r="AH48" s="1318"/>
      <c r="AI48" s="1318"/>
      <c r="AJ48" s="1318"/>
      <c r="AK48" s="1318"/>
      <c r="AL48" s="1318"/>
      <c r="AM48" s="1318"/>
      <c r="AN48" s="1319"/>
      <c r="AO48" s="113"/>
      <c r="AP48" s="113"/>
      <c r="AQ48" s="113"/>
      <c r="AR48" s="113"/>
      <c r="AS48" s="113"/>
      <c r="AT48" s="113"/>
      <c r="AU48" s="113"/>
      <c r="AV48" s="113"/>
      <c r="AW48" s="113"/>
      <c r="AX48" s="113"/>
      <c r="AY48" s="113"/>
      <c r="AZ48" s="113"/>
      <c r="BA48" s="113"/>
      <c r="BB48" s="113"/>
      <c r="BC48" s="113"/>
      <c r="BD48" s="113"/>
      <c r="BE48" s="113"/>
      <c r="BF48" s="113"/>
      <c r="BG48" s="113"/>
      <c r="BH48" s="113"/>
      <c r="BI48" s="113"/>
      <c r="BJ48" s="113"/>
      <c r="BK48" s="113"/>
      <c r="BL48" s="113"/>
      <c r="BM48" s="113"/>
      <c r="BN48" s="113"/>
      <c r="BO48" s="113"/>
      <c r="BP48" s="113"/>
      <c r="BQ48" s="113"/>
      <c r="BR48" s="113"/>
    </row>
    <row r="49" spans="1:70" ht="20.25" customHeight="1">
      <c r="A49" s="1257"/>
      <c r="B49" s="1227"/>
      <c r="C49" s="1227"/>
      <c r="D49" s="1248"/>
      <c r="E49" s="1226"/>
      <c r="F49" s="1227"/>
      <c r="G49" s="1227"/>
      <c r="H49" s="1227"/>
      <c r="I49" s="1227"/>
      <c r="J49" s="1226"/>
      <c r="K49" s="1227"/>
      <c r="L49" s="1227"/>
      <c r="M49" s="1227"/>
      <c r="N49" s="1227"/>
      <c r="O49" s="1226"/>
      <c r="P49" s="1227"/>
      <c r="Q49" s="1227"/>
      <c r="R49" s="1226"/>
      <c r="S49" s="1227"/>
      <c r="T49" s="1227"/>
      <c r="U49" s="1227"/>
      <c r="V49" s="1248"/>
      <c r="W49" s="1270"/>
      <c r="X49" s="1271"/>
      <c r="Y49" s="1270"/>
      <c r="Z49" s="1271"/>
      <c r="AA49" s="1317"/>
      <c r="AB49" s="1318"/>
      <c r="AC49" s="1318"/>
      <c r="AD49" s="1318"/>
      <c r="AE49" s="1318"/>
      <c r="AF49" s="1318"/>
      <c r="AG49" s="1318"/>
      <c r="AH49" s="1318"/>
      <c r="AI49" s="1318"/>
      <c r="AJ49" s="1318"/>
      <c r="AK49" s="1318"/>
      <c r="AL49" s="1318"/>
      <c r="AM49" s="1318"/>
      <c r="AN49" s="1319"/>
      <c r="AO49" s="113"/>
      <c r="AP49" s="113"/>
      <c r="AQ49" s="113"/>
      <c r="AR49" s="113"/>
      <c r="AS49" s="113"/>
      <c r="AT49" s="113"/>
      <c r="AU49" s="113"/>
      <c r="AV49" s="113"/>
      <c r="AW49" s="113"/>
      <c r="AX49" s="113"/>
      <c r="AY49" s="113"/>
      <c r="AZ49" s="113"/>
      <c r="BA49" s="113"/>
      <c r="BB49" s="113"/>
      <c r="BC49" s="113"/>
      <c r="BD49" s="113"/>
      <c r="BE49" s="113"/>
      <c r="BF49" s="113"/>
      <c r="BG49" s="113"/>
      <c r="BH49" s="113"/>
      <c r="BI49" s="113"/>
      <c r="BJ49" s="113"/>
      <c r="BK49" s="113"/>
      <c r="BL49" s="113"/>
      <c r="BM49" s="113"/>
      <c r="BN49" s="113"/>
      <c r="BO49" s="113"/>
      <c r="BP49" s="113"/>
      <c r="BQ49" s="113"/>
      <c r="BR49" s="113"/>
    </row>
    <row r="50" spans="1:70" ht="20.25" customHeight="1">
      <c r="A50" s="1257"/>
      <c r="B50" s="1227"/>
      <c r="C50" s="1227"/>
      <c r="D50" s="1248"/>
      <c r="E50" s="1226"/>
      <c r="F50" s="1227"/>
      <c r="G50" s="1227"/>
      <c r="H50" s="1227"/>
      <c r="I50" s="1227"/>
      <c r="J50" s="1226"/>
      <c r="K50" s="1227"/>
      <c r="L50" s="1227"/>
      <c r="M50" s="1227"/>
      <c r="N50" s="1227"/>
      <c r="O50" s="1226"/>
      <c r="P50" s="1227"/>
      <c r="Q50" s="1227"/>
      <c r="R50" s="1226"/>
      <c r="S50" s="1227"/>
      <c r="T50" s="1227"/>
      <c r="U50" s="1227"/>
      <c r="V50" s="1248"/>
      <c r="W50" s="1270"/>
      <c r="X50" s="1271"/>
      <c r="Y50" s="1270"/>
      <c r="Z50" s="1271"/>
      <c r="AA50" s="1317"/>
      <c r="AB50" s="1318"/>
      <c r="AC50" s="1318"/>
      <c r="AD50" s="1318"/>
      <c r="AE50" s="1318"/>
      <c r="AF50" s="1318"/>
      <c r="AG50" s="1318"/>
      <c r="AH50" s="1318"/>
      <c r="AI50" s="1318"/>
      <c r="AJ50" s="1318"/>
      <c r="AK50" s="1318"/>
      <c r="AL50" s="1318"/>
      <c r="AM50" s="1318"/>
      <c r="AN50" s="1319"/>
      <c r="AO50" s="113"/>
      <c r="AP50" s="113"/>
      <c r="AQ50" s="113"/>
      <c r="AR50" s="113"/>
      <c r="AS50" s="113"/>
      <c r="AT50" s="113"/>
      <c r="AU50" s="113"/>
      <c r="AV50" s="113"/>
      <c r="AW50" s="113"/>
      <c r="AX50" s="113"/>
      <c r="AY50" s="113"/>
      <c r="AZ50" s="113"/>
      <c r="BA50" s="113"/>
      <c r="BB50" s="113"/>
      <c r="BC50" s="113"/>
      <c r="BD50" s="113"/>
      <c r="BE50" s="113"/>
      <c r="BF50" s="113"/>
      <c r="BG50" s="113"/>
      <c r="BH50" s="113"/>
      <c r="BI50" s="113"/>
      <c r="BJ50" s="113"/>
      <c r="BK50" s="113"/>
      <c r="BL50" s="113"/>
      <c r="BM50" s="113"/>
      <c r="BN50" s="113"/>
      <c r="BO50" s="113"/>
      <c r="BP50" s="113"/>
      <c r="BQ50" s="113"/>
      <c r="BR50" s="113"/>
    </row>
    <row r="51" spans="1:70" ht="20.25" customHeight="1">
      <c r="A51" s="1257"/>
      <c r="B51" s="1227"/>
      <c r="C51" s="1227"/>
      <c r="D51" s="1248"/>
      <c r="E51" s="1226"/>
      <c r="F51" s="1227"/>
      <c r="G51" s="1227"/>
      <c r="H51" s="1227"/>
      <c r="I51" s="1227"/>
      <c r="J51" s="1226"/>
      <c r="K51" s="1227"/>
      <c r="L51" s="1227"/>
      <c r="M51" s="1227"/>
      <c r="N51" s="1227"/>
      <c r="O51" s="1226"/>
      <c r="P51" s="1227"/>
      <c r="Q51" s="1227"/>
      <c r="R51" s="1226"/>
      <c r="S51" s="1227"/>
      <c r="T51" s="1227"/>
      <c r="U51" s="1227"/>
      <c r="V51" s="1248"/>
      <c r="W51" s="1270"/>
      <c r="X51" s="1271"/>
      <c r="Y51" s="1270"/>
      <c r="Z51" s="1271"/>
      <c r="AA51" s="1317"/>
      <c r="AB51" s="1318"/>
      <c r="AC51" s="1318"/>
      <c r="AD51" s="1318"/>
      <c r="AE51" s="1318"/>
      <c r="AF51" s="1318"/>
      <c r="AG51" s="1318"/>
      <c r="AH51" s="1318"/>
      <c r="AI51" s="1318"/>
      <c r="AJ51" s="1318"/>
      <c r="AK51" s="1318"/>
      <c r="AL51" s="1318"/>
      <c r="AM51" s="1318"/>
      <c r="AN51" s="1319"/>
      <c r="AO51" s="113"/>
      <c r="AP51" s="113"/>
      <c r="AQ51" s="113"/>
      <c r="AR51" s="113"/>
      <c r="AS51" s="113"/>
      <c r="AT51" s="113"/>
      <c r="AU51" s="113"/>
      <c r="AV51" s="113"/>
      <c r="AW51" s="113"/>
      <c r="AX51" s="113"/>
      <c r="AY51" s="113"/>
      <c r="AZ51" s="113"/>
      <c r="BA51" s="113"/>
      <c r="BB51" s="113"/>
      <c r="BC51" s="113"/>
      <c r="BD51" s="113"/>
      <c r="BE51" s="113"/>
      <c r="BF51" s="113"/>
      <c r="BG51" s="113"/>
      <c r="BH51" s="113"/>
      <c r="BI51" s="113"/>
      <c r="BJ51" s="113"/>
      <c r="BK51" s="113"/>
      <c r="BL51" s="113"/>
      <c r="BM51" s="113"/>
      <c r="BN51" s="113"/>
      <c r="BO51" s="113"/>
      <c r="BP51" s="113"/>
      <c r="BQ51" s="113"/>
      <c r="BR51" s="113"/>
    </row>
    <row r="52" spans="1:70" ht="20.25" customHeight="1">
      <c r="A52" s="1257"/>
      <c r="B52" s="1227"/>
      <c r="C52" s="1227"/>
      <c r="D52" s="1248"/>
      <c r="E52" s="1226"/>
      <c r="F52" s="1227"/>
      <c r="G52" s="1227"/>
      <c r="H52" s="1227"/>
      <c r="I52" s="1227"/>
      <c r="J52" s="1226"/>
      <c r="K52" s="1227"/>
      <c r="L52" s="1227"/>
      <c r="M52" s="1227"/>
      <c r="N52" s="1227"/>
      <c r="O52" s="1226"/>
      <c r="P52" s="1227"/>
      <c r="Q52" s="1227"/>
      <c r="R52" s="1226"/>
      <c r="S52" s="1227"/>
      <c r="T52" s="1227"/>
      <c r="U52" s="1227"/>
      <c r="V52" s="1248"/>
      <c r="W52" s="1270"/>
      <c r="X52" s="1271"/>
      <c r="Y52" s="1270"/>
      <c r="Z52" s="1271"/>
      <c r="AA52" s="1317"/>
      <c r="AB52" s="1318"/>
      <c r="AC52" s="1318"/>
      <c r="AD52" s="1318"/>
      <c r="AE52" s="1318"/>
      <c r="AF52" s="1318"/>
      <c r="AG52" s="1318"/>
      <c r="AH52" s="1318"/>
      <c r="AI52" s="1318"/>
      <c r="AJ52" s="1318"/>
      <c r="AK52" s="1318"/>
      <c r="AL52" s="1318"/>
      <c r="AM52" s="1318"/>
      <c r="AN52" s="1319"/>
      <c r="AO52" s="113"/>
      <c r="AP52" s="113"/>
      <c r="AQ52" s="113"/>
      <c r="AR52" s="113"/>
      <c r="AS52" s="113"/>
      <c r="AT52" s="113"/>
      <c r="AU52" s="113"/>
      <c r="AV52" s="113"/>
      <c r="AW52" s="113"/>
      <c r="AX52" s="113"/>
      <c r="AY52" s="113"/>
      <c r="AZ52" s="113"/>
      <c r="BA52" s="113"/>
      <c r="BB52" s="113"/>
      <c r="BC52" s="113"/>
      <c r="BD52" s="113"/>
      <c r="BE52" s="113"/>
      <c r="BF52" s="113"/>
      <c r="BG52" s="113"/>
      <c r="BH52" s="113"/>
      <c r="BI52" s="113"/>
      <c r="BJ52" s="113"/>
      <c r="BK52" s="113"/>
      <c r="BL52" s="113"/>
      <c r="BM52" s="113"/>
      <c r="BN52" s="113"/>
      <c r="BO52" s="113"/>
      <c r="BP52" s="113"/>
      <c r="BQ52" s="113"/>
      <c r="BR52" s="113"/>
    </row>
    <row r="53" spans="1:70" ht="20.25" customHeight="1">
      <c r="A53" s="1257"/>
      <c r="B53" s="1227"/>
      <c r="C53" s="1227"/>
      <c r="D53" s="1248"/>
      <c r="E53" s="1226"/>
      <c r="F53" s="1227"/>
      <c r="G53" s="1227"/>
      <c r="H53" s="1227"/>
      <c r="I53" s="1227"/>
      <c r="J53" s="1226"/>
      <c r="K53" s="1227"/>
      <c r="L53" s="1227"/>
      <c r="M53" s="1227"/>
      <c r="N53" s="1227"/>
      <c r="O53" s="1226"/>
      <c r="P53" s="1227"/>
      <c r="Q53" s="1227"/>
      <c r="R53" s="1226"/>
      <c r="S53" s="1227"/>
      <c r="T53" s="1227"/>
      <c r="U53" s="1227"/>
      <c r="V53" s="1248"/>
      <c r="W53" s="1270"/>
      <c r="X53" s="1271"/>
      <c r="Y53" s="1270"/>
      <c r="Z53" s="1271"/>
      <c r="AA53" s="1317"/>
      <c r="AB53" s="1318"/>
      <c r="AC53" s="1318"/>
      <c r="AD53" s="1318"/>
      <c r="AE53" s="1318"/>
      <c r="AF53" s="1318"/>
      <c r="AG53" s="1318"/>
      <c r="AH53" s="1318"/>
      <c r="AI53" s="1318"/>
      <c r="AJ53" s="1318"/>
      <c r="AK53" s="1318"/>
      <c r="AL53" s="1318"/>
      <c r="AM53" s="1318"/>
      <c r="AN53" s="1319"/>
      <c r="AO53" s="113"/>
      <c r="AP53" s="113"/>
      <c r="AQ53" s="113"/>
      <c r="AR53" s="113"/>
      <c r="AS53" s="113"/>
      <c r="AT53" s="113"/>
      <c r="AU53" s="113"/>
      <c r="AV53" s="113"/>
      <c r="AW53" s="113"/>
      <c r="AX53" s="113"/>
      <c r="AY53" s="113"/>
      <c r="AZ53" s="113"/>
      <c r="BA53" s="113"/>
      <c r="BB53" s="113"/>
      <c r="BC53" s="113"/>
      <c r="BD53" s="113"/>
      <c r="BE53" s="113"/>
      <c r="BF53" s="113"/>
      <c r="BG53" s="113"/>
      <c r="BH53" s="113"/>
      <c r="BI53" s="113"/>
      <c r="BJ53" s="113"/>
      <c r="BK53" s="113"/>
      <c r="BL53" s="113"/>
      <c r="BM53" s="113"/>
      <c r="BN53" s="113"/>
      <c r="BO53" s="113"/>
      <c r="BP53" s="113"/>
      <c r="BQ53" s="113"/>
      <c r="BR53" s="113"/>
    </row>
    <row r="54" spans="1:70" ht="20.25" customHeight="1">
      <c r="A54" s="1257"/>
      <c r="B54" s="1227"/>
      <c r="C54" s="1227"/>
      <c r="D54" s="1248"/>
      <c r="E54" s="1226"/>
      <c r="F54" s="1227"/>
      <c r="G54" s="1227"/>
      <c r="H54" s="1227"/>
      <c r="I54" s="1227"/>
      <c r="J54" s="1226"/>
      <c r="K54" s="1227"/>
      <c r="L54" s="1227"/>
      <c r="M54" s="1227"/>
      <c r="N54" s="1227"/>
      <c r="O54" s="1226"/>
      <c r="P54" s="1227"/>
      <c r="Q54" s="1227"/>
      <c r="R54" s="1226"/>
      <c r="S54" s="1227"/>
      <c r="T54" s="1227"/>
      <c r="U54" s="1227"/>
      <c r="V54" s="1248"/>
      <c r="W54" s="1270"/>
      <c r="X54" s="1271"/>
      <c r="Y54" s="1270"/>
      <c r="Z54" s="1271"/>
      <c r="AA54" s="1317"/>
      <c r="AB54" s="1318"/>
      <c r="AC54" s="1318"/>
      <c r="AD54" s="1318"/>
      <c r="AE54" s="1318"/>
      <c r="AF54" s="1318"/>
      <c r="AG54" s="1318"/>
      <c r="AH54" s="1318"/>
      <c r="AI54" s="1318"/>
      <c r="AJ54" s="1318"/>
      <c r="AK54" s="1318"/>
      <c r="AL54" s="1318"/>
      <c r="AM54" s="1318"/>
      <c r="AN54" s="1319"/>
      <c r="AO54" s="113"/>
      <c r="AP54" s="113"/>
      <c r="AQ54" s="113"/>
      <c r="AR54" s="113"/>
      <c r="AS54" s="113"/>
      <c r="AT54" s="113"/>
      <c r="AU54" s="113"/>
      <c r="AV54" s="113"/>
      <c r="AW54" s="113"/>
      <c r="AX54" s="113"/>
      <c r="AY54" s="113"/>
      <c r="AZ54" s="113"/>
      <c r="BA54" s="113"/>
      <c r="BB54" s="113"/>
      <c r="BC54" s="113"/>
      <c r="BD54" s="113"/>
      <c r="BE54" s="113"/>
      <c r="BF54" s="113"/>
      <c r="BG54" s="113"/>
      <c r="BH54" s="113"/>
      <c r="BI54" s="113"/>
      <c r="BJ54" s="113"/>
      <c r="BK54" s="113"/>
      <c r="BL54" s="113"/>
      <c r="BM54" s="113"/>
      <c r="BN54" s="113"/>
      <c r="BO54" s="113"/>
      <c r="BP54" s="113"/>
      <c r="BQ54" s="113"/>
      <c r="BR54" s="113"/>
    </row>
    <row r="55" spans="1:70" ht="20.25" customHeight="1">
      <c r="A55" s="1257"/>
      <c r="B55" s="1227"/>
      <c r="C55" s="1227"/>
      <c r="D55" s="1248"/>
      <c r="E55" s="1226"/>
      <c r="F55" s="1227"/>
      <c r="G55" s="1227"/>
      <c r="H55" s="1227"/>
      <c r="I55" s="1227"/>
      <c r="J55" s="1226"/>
      <c r="K55" s="1227"/>
      <c r="L55" s="1227"/>
      <c r="M55" s="1227"/>
      <c r="N55" s="1227"/>
      <c r="O55" s="1226"/>
      <c r="P55" s="1227"/>
      <c r="Q55" s="1227"/>
      <c r="R55" s="1226"/>
      <c r="S55" s="1227"/>
      <c r="T55" s="1227"/>
      <c r="U55" s="1227"/>
      <c r="V55" s="1248"/>
      <c r="W55" s="1270"/>
      <c r="X55" s="1271"/>
      <c r="Y55" s="1270"/>
      <c r="Z55" s="1271"/>
      <c r="AA55" s="1317"/>
      <c r="AB55" s="1318"/>
      <c r="AC55" s="1318"/>
      <c r="AD55" s="1318"/>
      <c r="AE55" s="1318"/>
      <c r="AF55" s="1318"/>
      <c r="AG55" s="1318"/>
      <c r="AH55" s="1318"/>
      <c r="AI55" s="1318"/>
      <c r="AJ55" s="1318"/>
      <c r="AK55" s="1318"/>
      <c r="AL55" s="1318"/>
      <c r="AM55" s="1318"/>
      <c r="AN55" s="1319"/>
      <c r="AO55" s="113"/>
      <c r="AP55" s="113"/>
      <c r="AQ55" s="113"/>
      <c r="AR55" s="113"/>
      <c r="AS55" s="113"/>
      <c r="AT55" s="113"/>
      <c r="AU55" s="113"/>
      <c r="AV55" s="113"/>
      <c r="AW55" s="113"/>
      <c r="AX55" s="113"/>
      <c r="AY55" s="113"/>
      <c r="AZ55" s="113"/>
      <c r="BA55" s="113"/>
      <c r="BB55" s="113"/>
      <c r="BC55" s="113"/>
      <c r="BD55" s="113"/>
      <c r="BE55" s="113"/>
      <c r="BF55" s="113"/>
      <c r="BG55" s="113"/>
      <c r="BH55" s="113"/>
      <c r="BI55" s="113"/>
      <c r="BJ55" s="113"/>
      <c r="BK55" s="113"/>
      <c r="BL55" s="113"/>
      <c r="BM55" s="113"/>
      <c r="BN55" s="113"/>
      <c r="BO55" s="113"/>
      <c r="BP55" s="113"/>
      <c r="BQ55" s="113"/>
      <c r="BR55" s="113"/>
    </row>
    <row r="56" spans="1:70" ht="20.25" customHeight="1">
      <c r="A56" s="1257"/>
      <c r="B56" s="1227"/>
      <c r="C56" s="1227"/>
      <c r="D56" s="1248"/>
      <c r="E56" s="1226"/>
      <c r="F56" s="1227"/>
      <c r="G56" s="1227"/>
      <c r="H56" s="1227"/>
      <c r="I56" s="1227"/>
      <c r="J56" s="1226"/>
      <c r="K56" s="1227"/>
      <c r="L56" s="1227"/>
      <c r="M56" s="1227"/>
      <c r="N56" s="1227"/>
      <c r="O56" s="1226"/>
      <c r="P56" s="1227"/>
      <c r="Q56" s="1227"/>
      <c r="R56" s="1226"/>
      <c r="S56" s="1227"/>
      <c r="T56" s="1227"/>
      <c r="U56" s="1227"/>
      <c r="V56" s="1248"/>
      <c r="W56" s="1270"/>
      <c r="X56" s="1271"/>
      <c r="Y56" s="1270"/>
      <c r="Z56" s="1271"/>
      <c r="AA56" s="1317"/>
      <c r="AB56" s="1318"/>
      <c r="AC56" s="1318"/>
      <c r="AD56" s="1318"/>
      <c r="AE56" s="1318"/>
      <c r="AF56" s="1318"/>
      <c r="AG56" s="1318"/>
      <c r="AH56" s="1318"/>
      <c r="AI56" s="1318"/>
      <c r="AJ56" s="1318"/>
      <c r="AK56" s="1318"/>
      <c r="AL56" s="1318"/>
      <c r="AM56" s="1318"/>
      <c r="AN56" s="1319"/>
      <c r="AO56" s="113"/>
      <c r="AP56" s="113"/>
      <c r="AQ56" s="113"/>
      <c r="AR56" s="113"/>
      <c r="AS56" s="113"/>
      <c r="AT56" s="113"/>
      <c r="AU56" s="113"/>
      <c r="AV56" s="113"/>
      <c r="AW56" s="113"/>
      <c r="AX56" s="113"/>
      <c r="AY56" s="113"/>
      <c r="AZ56" s="113"/>
      <c r="BA56" s="113"/>
      <c r="BB56" s="113"/>
      <c r="BC56" s="113"/>
      <c r="BD56" s="113"/>
      <c r="BE56" s="113"/>
      <c r="BF56" s="113"/>
      <c r="BG56" s="113"/>
      <c r="BH56" s="113"/>
      <c r="BI56" s="113"/>
      <c r="BJ56" s="113"/>
      <c r="BK56" s="113"/>
      <c r="BL56" s="113"/>
      <c r="BM56" s="113"/>
      <c r="BN56" s="113"/>
      <c r="BO56" s="113"/>
      <c r="BP56" s="113"/>
      <c r="BQ56" s="113"/>
      <c r="BR56" s="113"/>
    </row>
    <row r="57" spans="1:70" ht="20.25" customHeight="1">
      <c r="A57" s="1257"/>
      <c r="B57" s="1227"/>
      <c r="C57" s="1227"/>
      <c r="D57" s="1248"/>
      <c r="E57" s="1226"/>
      <c r="F57" s="1227"/>
      <c r="G57" s="1227"/>
      <c r="H57" s="1227"/>
      <c r="I57" s="1227"/>
      <c r="J57" s="1226"/>
      <c r="K57" s="1227"/>
      <c r="L57" s="1227"/>
      <c r="M57" s="1227"/>
      <c r="N57" s="1227"/>
      <c r="O57" s="1226"/>
      <c r="P57" s="1227"/>
      <c r="Q57" s="1227"/>
      <c r="R57" s="1226"/>
      <c r="S57" s="1227"/>
      <c r="T57" s="1227"/>
      <c r="U57" s="1227"/>
      <c r="V57" s="1248"/>
      <c r="W57" s="1270"/>
      <c r="X57" s="1271"/>
      <c r="Y57" s="1270"/>
      <c r="Z57" s="1271"/>
      <c r="AA57" s="1317"/>
      <c r="AB57" s="1318"/>
      <c r="AC57" s="1318"/>
      <c r="AD57" s="1318"/>
      <c r="AE57" s="1318"/>
      <c r="AF57" s="1318"/>
      <c r="AG57" s="1318"/>
      <c r="AH57" s="1318"/>
      <c r="AI57" s="1318"/>
      <c r="AJ57" s="1318"/>
      <c r="AK57" s="1318"/>
      <c r="AL57" s="1318"/>
      <c r="AM57" s="1318"/>
      <c r="AN57" s="1319"/>
      <c r="AO57" s="113"/>
      <c r="AP57" s="113"/>
      <c r="AQ57" s="113"/>
      <c r="AR57" s="113"/>
      <c r="AS57" s="113"/>
      <c r="AT57" s="113"/>
      <c r="AU57" s="113"/>
      <c r="AV57" s="113"/>
      <c r="AW57" s="113"/>
      <c r="AX57" s="113"/>
      <c r="AY57" s="113"/>
      <c r="AZ57" s="113"/>
      <c r="BA57" s="113"/>
      <c r="BB57" s="113"/>
      <c r="BC57" s="113"/>
      <c r="BD57" s="113"/>
      <c r="BE57" s="113"/>
      <c r="BF57" s="113"/>
      <c r="BG57" s="113"/>
      <c r="BH57" s="113"/>
      <c r="BI57" s="113"/>
      <c r="BJ57" s="113"/>
      <c r="BK57" s="113"/>
      <c r="BL57" s="113"/>
      <c r="BM57" s="113"/>
      <c r="BN57" s="113"/>
      <c r="BO57" s="113"/>
      <c r="BP57" s="113"/>
      <c r="BQ57" s="113"/>
      <c r="BR57" s="113"/>
    </row>
    <row r="58" spans="1:70" ht="20.25" customHeight="1">
      <c r="A58" s="1257"/>
      <c r="B58" s="1227"/>
      <c r="C58" s="1227"/>
      <c r="D58" s="1248"/>
      <c r="E58" s="1226"/>
      <c r="F58" s="1227"/>
      <c r="G58" s="1227"/>
      <c r="H58" s="1227"/>
      <c r="I58" s="1227"/>
      <c r="J58" s="1226"/>
      <c r="K58" s="1227"/>
      <c r="L58" s="1227"/>
      <c r="M58" s="1227"/>
      <c r="N58" s="1227"/>
      <c r="O58" s="1226"/>
      <c r="P58" s="1227"/>
      <c r="Q58" s="1227"/>
      <c r="R58" s="1226"/>
      <c r="S58" s="1227"/>
      <c r="T58" s="1227"/>
      <c r="U58" s="1227"/>
      <c r="V58" s="1248"/>
      <c r="W58" s="1270"/>
      <c r="X58" s="1271"/>
      <c r="Y58" s="1270"/>
      <c r="Z58" s="1271"/>
      <c r="AA58" s="1317"/>
      <c r="AB58" s="1318"/>
      <c r="AC58" s="1318"/>
      <c r="AD58" s="1318"/>
      <c r="AE58" s="1318"/>
      <c r="AF58" s="1318"/>
      <c r="AG58" s="1318"/>
      <c r="AH58" s="1318"/>
      <c r="AI58" s="1318"/>
      <c r="AJ58" s="1318"/>
      <c r="AK58" s="1318"/>
      <c r="AL58" s="1318"/>
      <c r="AM58" s="1318"/>
      <c r="AN58" s="1319"/>
      <c r="AO58" s="113"/>
      <c r="AP58" s="113"/>
      <c r="AQ58" s="113"/>
      <c r="AR58" s="113"/>
      <c r="AS58" s="113"/>
      <c r="AT58" s="113"/>
      <c r="AU58" s="113"/>
      <c r="AV58" s="113"/>
      <c r="AW58" s="113"/>
      <c r="AX58" s="113"/>
      <c r="AY58" s="113"/>
      <c r="AZ58" s="113"/>
      <c r="BA58" s="113"/>
      <c r="BB58" s="113"/>
      <c r="BC58" s="113"/>
      <c r="BD58" s="113"/>
      <c r="BE58" s="113"/>
      <c r="BF58" s="113"/>
      <c r="BG58" s="113"/>
      <c r="BH58" s="113"/>
      <c r="BI58" s="113"/>
      <c r="BJ58" s="113"/>
      <c r="BK58" s="113"/>
      <c r="BL58" s="113"/>
      <c r="BM58" s="113"/>
      <c r="BN58" s="113"/>
      <c r="BO58" s="113"/>
      <c r="BP58" s="113"/>
      <c r="BQ58" s="113"/>
      <c r="BR58" s="113"/>
    </row>
    <row r="59" spans="1:70" s="78" customFormat="1" ht="20.25" customHeight="1">
      <c r="A59" s="1257"/>
      <c r="B59" s="1227"/>
      <c r="C59" s="1227"/>
      <c r="D59" s="1248"/>
      <c r="E59" s="1226"/>
      <c r="F59" s="1227"/>
      <c r="G59" s="1227"/>
      <c r="H59" s="1227"/>
      <c r="I59" s="1227"/>
      <c r="J59" s="1226"/>
      <c r="K59" s="1227"/>
      <c r="L59" s="1227"/>
      <c r="M59" s="1227"/>
      <c r="N59" s="1227"/>
      <c r="O59" s="1226"/>
      <c r="P59" s="1227"/>
      <c r="Q59" s="1227"/>
      <c r="R59" s="1226"/>
      <c r="S59" s="1227"/>
      <c r="T59" s="1227"/>
      <c r="U59" s="1227"/>
      <c r="V59" s="1248"/>
      <c r="W59" s="1270"/>
      <c r="X59" s="1271"/>
      <c r="Y59" s="1270"/>
      <c r="Z59" s="1271"/>
      <c r="AA59" s="1317"/>
      <c r="AB59" s="1318"/>
      <c r="AC59" s="1318"/>
      <c r="AD59" s="1318"/>
      <c r="AE59" s="1318"/>
      <c r="AF59" s="1318"/>
      <c r="AG59" s="1318"/>
      <c r="AH59" s="1318"/>
      <c r="AI59" s="1318"/>
      <c r="AJ59" s="1318"/>
      <c r="AK59" s="1318"/>
      <c r="AL59" s="1318"/>
      <c r="AM59" s="1318"/>
      <c r="AN59" s="1319"/>
      <c r="AO59" s="25"/>
      <c r="AP59" s="25"/>
      <c r="AQ59" s="25"/>
      <c r="AR59" s="25"/>
      <c r="AS59" s="25"/>
      <c r="AT59" s="25"/>
      <c r="AU59" s="25"/>
      <c r="AV59" s="25"/>
      <c r="AW59" s="25"/>
      <c r="AX59" s="25"/>
      <c r="AY59" s="25"/>
      <c r="AZ59" s="25"/>
      <c r="BA59" s="25"/>
      <c r="BB59" s="25"/>
      <c r="BC59" s="25"/>
      <c r="BD59" s="25"/>
      <c r="BE59" s="25"/>
      <c r="BF59" s="25"/>
      <c r="BG59" s="25"/>
      <c r="BH59" s="25"/>
      <c r="BI59" s="25"/>
      <c r="BJ59" s="25"/>
      <c r="BK59" s="25"/>
      <c r="BL59" s="25"/>
      <c r="BM59" s="25"/>
      <c r="BN59" s="25"/>
      <c r="BO59" s="25"/>
      <c r="BP59" s="25"/>
      <c r="BQ59" s="25"/>
      <c r="BR59" s="25"/>
    </row>
    <row r="60" spans="1:70" s="78" customFormat="1" ht="20.25" customHeight="1">
      <c r="A60" s="1257"/>
      <c r="B60" s="1227"/>
      <c r="C60" s="1227"/>
      <c r="D60" s="1248"/>
      <c r="E60" s="1226"/>
      <c r="F60" s="1227"/>
      <c r="G60" s="1227"/>
      <c r="H60" s="1227"/>
      <c r="I60" s="1227"/>
      <c r="J60" s="1226"/>
      <c r="K60" s="1227"/>
      <c r="L60" s="1227"/>
      <c r="M60" s="1227"/>
      <c r="N60" s="1227"/>
      <c r="O60" s="1226"/>
      <c r="P60" s="1227"/>
      <c r="Q60" s="1227"/>
      <c r="R60" s="1226"/>
      <c r="S60" s="1227"/>
      <c r="T60" s="1227"/>
      <c r="U60" s="1227"/>
      <c r="V60" s="1248"/>
      <c r="W60" s="1270"/>
      <c r="X60" s="1271"/>
      <c r="Y60" s="1270"/>
      <c r="Z60" s="1271"/>
      <c r="AA60" s="1317"/>
      <c r="AB60" s="1318"/>
      <c r="AC60" s="1318"/>
      <c r="AD60" s="1318"/>
      <c r="AE60" s="1318"/>
      <c r="AF60" s="1318"/>
      <c r="AG60" s="1318"/>
      <c r="AH60" s="1318"/>
      <c r="AI60" s="1318"/>
      <c r="AJ60" s="1318"/>
      <c r="AK60" s="1318"/>
      <c r="AL60" s="1318"/>
      <c r="AM60" s="1318"/>
      <c r="AN60" s="1319"/>
      <c r="AO60" s="25"/>
      <c r="AP60" s="25"/>
      <c r="AQ60" s="25"/>
      <c r="AR60" s="25"/>
      <c r="AS60" s="25"/>
      <c r="AT60" s="25"/>
      <c r="AU60" s="25"/>
      <c r="AV60" s="25"/>
      <c r="AW60" s="25"/>
      <c r="AX60" s="25"/>
      <c r="AY60" s="25"/>
      <c r="AZ60" s="25"/>
      <c r="BA60" s="25"/>
      <c r="BB60" s="25"/>
      <c r="BC60" s="25"/>
      <c r="BD60" s="25"/>
      <c r="BE60" s="25"/>
      <c r="BF60" s="25"/>
      <c r="BG60" s="25"/>
      <c r="BH60" s="25"/>
      <c r="BI60" s="25"/>
      <c r="BJ60" s="25"/>
      <c r="BK60" s="25"/>
      <c r="BL60" s="25"/>
      <c r="BM60" s="25"/>
      <c r="BN60" s="25"/>
      <c r="BO60" s="25"/>
      <c r="BP60" s="25"/>
      <c r="BQ60" s="25"/>
      <c r="BR60" s="25"/>
    </row>
    <row r="61" spans="1:70" s="78" customFormat="1" ht="20.25" customHeight="1">
      <c r="A61" s="1257"/>
      <c r="B61" s="1227"/>
      <c r="C61" s="1227"/>
      <c r="D61" s="1248"/>
      <c r="E61" s="1226"/>
      <c r="F61" s="1227"/>
      <c r="G61" s="1227"/>
      <c r="H61" s="1227"/>
      <c r="I61" s="1227"/>
      <c r="J61" s="1226"/>
      <c r="K61" s="1227"/>
      <c r="L61" s="1227"/>
      <c r="M61" s="1227"/>
      <c r="N61" s="1227"/>
      <c r="O61" s="1226"/>
      <c r="P61" s="1227"/>
      <c r="Q61" s="1227"/>
      <c r="R61" s="1226"/>
      <c r="S61" s="1227"/>
      <c r="T61" s="1227"/>
      <c r="U61" s="1227"/>
      <c r="V61" s="1248"/>
      <c r="W61" s="1270"/>
      <c r="X61" s="1271"/>
      <c r="Y61" s="1270"/>
      <c r="Z61" s="1271"/>
      <c r="AA61" s="1317"/>
      <c r="AB61" s="1318"/>
      <c r="AC61" s="1318"/>
      <c r="AD61" s="1318"/>
      <c r="AE61" s="1318"/>
      <c r="AF61" s="1318"/>
      <c r="AG61" s="1318"/>
      <c r="AH61" s="1318"/>
      <c r="AI61" s="1318"/>
      <c r="AJ61" s="1318"/>
      <c r="AK61" s="1318"/>
      <c r="AL61" s="1318"/>
      <c r="AM61" s="1318"/>
      <c r="AN61" s="1319"/>
      <c r="AO61" s="25"/>
      <c r="AP61" s="25"/>
      <c r="AQ61" s="25"/>
      <c r="AR61" s="25"/>
      <c r="AS61" s="25"/>
      <c r="AT61" s="25"/>
      <c r="AU61" s="25"/>
      <c r="AV61" s="25"/>
      <c r="AW61" s="25"/>
      <c r="AX61" s="25"/>
      <c r="AY61" s="25"/>
      <c r="AZ61" s="25"/>
      <c r="BA61" s="25"/>
      <c r="BB61" s="25"/>
      <c r="BC61" s="25"/>
      <c r="BD61" s="25"/>
      <c r="BE61" s="25"/>
      <c r="BF61" s="25"/>
      <c r="BG61" s="25"/>
      <c r="BH61" s="25"/>
      <c r="BI61" s="25"/>
      <c r="BJ61" s="25"/>
      <c r="BK61" s="25"/>
      <c r="BL61" s="25"/>
      <c r="BM61" s="25"/>
      <c r="BN61" s="25"/>
      <c r="BO61" s="25"/>
      <c r="BP61" s="25"/>
      <c r="BQ61" s="25"/>
      <c r="BR61" s="25"/>
    </row>
    <row r="62" spans="1:70" ht="20.25" customHeight="1">
      <c r="A62" s="1257"/>
      <c r="B62" s="1227"/>
      <c r="C62" s="1227"/>
      <c r="D62" s="1248"/>
      <c r="E62" s="1226"/>
      <c r="F62" s="1227"/>
      <c r="G62" s="1227"/>
      <c r="H62" s="1227"/>
      <c r="I62" s="1227"/>
      <c r="J62" s="1226"/>
      <c r="K62" s="1227"/>
      <c r="L62" s="1227"/>
      <c r="M62" s="1227"/>
      <c r="N62" s="1227"/>
      <c r="O62" s="1226"/>
      <c r="P62" s="1227"/>
      <c r="Q62" s="1227"/>
      <c r="R62" s="1226"/>
      <c r="S62" s="1227"/>
      <c r="T62" s="1227"/>
      <c r="U62" s="1227"/>
      <c r="V62" s="1248"/>
      <c r="W62" s="1270"/>
      <c r="X62" s="1271"/>
      <c r="Y62" s="1270"/>
      <c r="Z62" s="1271"/>
      <c r="AA62" s="1317"/>
      <c r="AB62" s="1318"/>
      <c r="AC62" s="1318"/>
      <c r="AD62" s="1318"/>
      <c r="AE62" s="1318"/>
      <c r="AF62" s="1318"/>
      <c r="AG62" s="1318"/>
      <c r="AH62" s="1318"/>
      <c r="AI62" s="1318"/>
      <c r="AJ62" s="1318"/>
      <c r="AK62" s="1318"/>
      <c r="AL62" s="1318"/>
      <c r="AM62" s="1318"/>
      <c r="AN62" s="1319"/>
      <c r="AO62" s="113"/>
      <c r="AP62" s="113"/>
      <c r="AQ62" s="113"/>
      <c r="AR62" s="113"/>
      <c r="AS62" s="113"/>
      <c r="AT62" s="113"/>
      <c r="AU62" s="113"/>
      <c r="AV62" s="113"/>
      <c r="AW62" s="113"/>
      <c r="AX62" s="113"/>
      <c r="AY62" s="113"/>
      <c r="AZ62" s="113"/>
      <c r="BA62" s="113"/>
      <c r="BB62" s="113"/>
      <c r="BC62" s="113"/>
      <c r="BD62" s="113"/>
      <c r="BE62" s="113"/>
      <c r="BF62" s="113"/>
      <c r="BG62" s="113"/>
      <c r="BH62" s="113"/>
      <c r="BI62" s="113"/>
      <c r="BJ62" s="113"/>
      <c r="BK62" s="113"/>
      <c r="BL62" s="113"/>
      <c r="BM62" s="113"/>
      <c r="BN62" s="113"/>
      <c r="BO62" s="113"/>
      <c r="BP62" s="113"/>
      <c r="BQ62" s="113"/>
      <c r="BR62" s="113"/>
    </row>
    <row r="63" spans="1:70" ht="20.25" customHeight="1">
      <c r="A63" s="1257"/>
      <c r="B63" s="1227"/>
      <c r="C63" s="1227"/>
      <c r="D63" s="1248"/>
      <c r="E63" s="1226"/>
      <c r="F63" s="1227"/>
      <c r="G63" s="1227"/>
      <c r="H63" s="1227"/>
      <c r="I63" s="1227"/>
      <c r="J63" s="1226"/>
      <c r="K63" s="1227"/>
      <c r="L63" s="1227"/>
      <c r="M63" s="1227"/>
      <c r="N63" s="1227"/>
      <c r="O63" s="1226"/>
      <c r="P63" s="1227"/>
      <c r="Q63" s="1227"/>
      <c r="R63" s="1226"/>
      <c r="S63" s="1227"/>
      <c r="T63" s="1227"/>
      <c r="U63" s="1227"/>
      <c r="V63" s="1248"/>
      <c r="W63" s="1270"/>
      <c r="X63" s="1271"/>
      <c r="Y63" s="1270"/>
      <c r="Z63" s="1271"/>
      <c r="AA63" s="1317"/>
      <c r="AB63" s="1318"/>
      <c r="AC63" s="1318"/>
      <c r="AD63" s="1318"/>
      <c r="AE63" s="1318"/>
      <c r="AF63" s="1318"/>
      <c r="AG63" s="1318"/>
      <c r="AH63" s="1318"/>
      <c r="AI63" s="1318"/>
      <c r="AJ63" s="1318"/>
      <c r="AK63" s="1318"/>
      <c r="AL63" s="1318"/>
      <c r="AM63" s="1318"/>
      <c r="AN63" s="1319"/>
      <c r="AO63" s="113"/>
      <c r="AP63" s="113"/>
      <c r="AQ63" s="113"/>
      <c r="AR63" s="113"/>
      <c r="AS63" s="113"/>
      <c r="AT63" s="113"/>
      <c r="AU63" s="113"/>
      <c r="AV63" s="113"/>
      <c r="AW63" s="113"/>
      <c r="AX63" s="113"/>
      <c r="AY63" s="113"/>
      <c r="AZ63" s="113"/>
      <c r="BA63" s="113"/>
      <c r="BB63" s="113"/>
      <c r="BC63" s="113"/>
      <c r="BD63" s="113"/>
      <c r="BE63" s="113"/>
      <c r="BF63" s="113"/>
      <c r="BG63" s="113"/>
      <c r="BH63" s="113"/>
      <c r="BI63" s="113"/>
      <c r="BJ63" s="113"/>
      <c r="BK63" s="113"/>
      <c r="BL63" s="113"/>
      <c r="BM63" s="113"/>
      <c r="BN63" s="113"/>
      <c r="BO63" s="113"/>
      <c r="BP63" s="113"/>
      <c r="BQ63" s="113"/>
      <c r="BR63" s="113"/>
    </row>
    <row r="64" spans="1:70" ht="20.25" customHeight="1">
      <c r="A64" s="1257"/>
      <c r="B64" s="1227"/>
      <c r="C64" s="1227"/>
      <c r="D64" s="1248"/>
      <c r="E64" s="1226"/>
      <c r="F64" s="1227"/>
      <c r="G64" s="1227"/>
      <c r="H64" s="1227"/>
      <c r="I64" s="1227"/>
      <c r="J64" s="1226"/>
      <c r="K64" s="1227"/>
      <c r="L64" s="1227"/>
      <c r="M64" s="1227"/>
      <c r="N64" s="1227"/>
      <c r="O64" s="1226"/>
      <c r="P64" s="1227"/>
      <c r="Q64" s="1227"/>
      <c r="R64" s="1226"/>
      <c r="S64" s="1227"/>
      <c r="T64" s="1227"/>
      <c r="U64" s="1227"/>
      <c r="V64" s="1248"/>
      <c r="W64" s="1270"/>
      <c r="X64" s="1271"/>
      <c r="Y64" s="1270"/>
      <c r="Z64" s="1271"/>
      <c r="AA64" s="1317"/>
      <c r="AB64" s="1318"/>
      <c r="AC64" s="1318"/>
      <c r="AD64" s="1318"/>
      <c r="AE64" s="1318"/>
      <c r="AF64" s="1318"/>
      <c r="AG64" s="1318"/>
      <c r="AH64" s="1318"/>
      <c r="AI64" s="1318"/>
      <c r="AJ64" s="1318"/>
      <c r="AK64" s="1318"/>
      <c r="AL64" s="1318"/>
      <c r="AM64" s="1318"/>
      <c r="AN64" s="1319"/>
      <c r="AO64" s="113"/>
      <c r="AP64" s="113"/>
      <c r="AQ64" s="113"/>
      <c r="AR64" s="113"/>
      <c r="AS64" s="113"/>
      <c r="AT64" s="113"/>
      <c r="AU64" s="113"/>
      <c r="AV64" s="113"/>
      <c r="AW64" s="113"/>
      <c r="AX64" s="113"/>
      <c r="AY64" s="113"/>
      <c r="AZ64" s="113"/>
      <c r="BA64" s="113"/>
      <c r="BB64" s="113"/>
      <c r="BC64" s="113"/>
      <c r="BD64" s="113"/>
      <c r="BE64" s="113"/>
      <c r="BF64" s="113"/>
      <c r="BG64" s="113"/>
      <c r="BH64" s="113"/>
      <c r="BI64" s="113"/>
      <c r="BJ64" s="113"/>
      <c r="BK64" s="113"/>
      <c r="BL64" s="113"/>
      <c r="BM64" s="113"/>
      <c r="BN64" s="113"/>
      <c r="BO64" s="113"/>
      <c r="BP64" s="113"/>
      <c r="BQ64" s="113"/>
      <c r="BR64" s="113"/>
    </row>
    <row r="65" spans="1:70" ht="20.25" customHeight="1">
      <c r="A65" s="1257"/>
      <c r="B65" s="1227"/>
      <c r="C65" s="1227"/>
      <c r="D65" s="1248"/>
      <c r="E65" s="1226"/>
      <c r="F65" s="1227"/>
      <c r="G65" s="1227"/>
      <c r="H65" s="1227"/>
      <c r="I65" s="1227"/>
      <c r="J65" s="1226"/>
      <c r="K65" s="1227"/>
      <c r="L65" s="1227"/>
      <c r="M65" s="1227"/>
      <c r="N65" s="1227"/>
      <c r="O65" s="1226"/>
      <c r="P65" s="1227"/>
      <c r="Q65" s="1227"/>
      <c r="R65" s="1226"/>
      <c r="S65" s="1227"/>
      <c r="T65" s="1227"/>
      <c r="U65" s="1227"/>
      <c r="V65" s="1248"/>
      <c r="W65" s="1270"/>
      <c r="X65" s="1271"/>
      <c r="Y65" s="1270"/>
      <c r="Z65" s="1271"/>
      <c r="AA65" s="1317"/>
      <c r="AB65" s="1318"/>
      <c r="AC65" s="1318"/>
      <c r="AD65" s="1318"/>
      <c r="AE65" s="1318"/>
      <c r="AF65" s="1318"/>
      <c r="AG65" s="1318"/>
      <c r="AH65" s="1318"/>
      <c r="AI65" s="1318"/>
      <c r="AJ65" s="1318"/>
      <c r="AK65" s="1318"/>
      <c r="AL65" s="1318"/>
      <c r="AM65" s="1318"/>
      <c r="AN65" s="1319"/>
      <c r="AO65" s="113"/>
      <c r="AP65" s="113"/>
      <c r="AQ65" s="113"/>
      <c r="AR65" s="113"/>
      <c r="AS65" s="113"/>
      <c r="AT65" s="113"/>
      <c r="AU65" s="113"/>
      <c r="AV65" s="113"/>
      <c r="AW65" s="113"/>
      <c r="AX65" s="113"/>
      <c r="AY65" s="113"/>
      <c r="AZ65" s="113"/>
      <c r="BA65" s="113"/>
      <c r="BB65" s="113"/>
      <c r="BC65" s="113"/>
      <c r="BD65" s="113"/>
      <c r="BE65" s="113"/>
      <c r="BF65" s="113"/>
      <c r="BG65" s="113"/>
      <c r="BH65" s="113"/>
      <c r="BI65" s="113"/>
      <c r="BJ65" s="113"/>
      <c r="BK65" s="113"/>
      <c r="BL65" s="113"/>
      <c r="BM65" s="113"/>
      <c r="BN65" s="113"/>
      <c r="BO65" s="113"/>
      <c r="BP65" s="113"/>
      <c r="BQ65" s="113"/>
      <c r="BR65" s="113"/>
    </row>
    <row r="66" spans="1:70" ht="20.25" customHeight="1">
      <c r="A66" s="1257"/>
      <c r="B66" s="1227"/>
      <c r="C66" s="1227"/>
      <c r="D66" s="1248"/>
      <c r="E66" s="1226"/>
      <c r="F66" s="1227"/>
      <c r="G66" s="1227"/>
      <c r="H66" s="1227"/>
      <c r="I66" s="1227"/>
      <c r="J66" s="1226"/>
      <c r="K66" s="1227"/>
      <c r="L66" s="1227"/>
      <c r="M66" s="1227"/>
      <c r="N66" s="1227"/>
      <c r="O66" s="1226"/>
      <c r="P66" s="1227"/>
      <c r="Q66" s="1227"/>
      <c r="R66" s="1226"/>
      <c r="S66" s="1227"/>
      <c r="T66" s="1227"/>
      <c r="U66" s="1227"/>
      <c r="V66" s="1248"/>
      <c r="W66" s="1270"/>
      <c r="X66" s="1271"/>
      <c r="Y66" s="1270"/>
      <c r="Z66" s="1271"/>
      <c r="AA66" s="1317"/>
      <c r="AB66" s="1318"/>
      <c r="AC66" s="1318"/>
      <c r="AD66" s="1318"/>
      <c r="AE66" s="1318"/>
      <c r="AF66" s="1318"/>
      <c r="AG66" s="1318"/>
      <c r="AH66" s="1318"/>
      <c r="AI66" s="1318"/>
      <c r="AJ66" s="1318"/>
      <c r="AK66" s="1318"/>
      <c r="AL66" s="1318"/>
      <c r="AM66" s="1318"/>
      <c r="AN66" s="1319"/>
      <c r="AO66" s="113"/>
      <c r="AP66" s="113"/>
      <c r="AQ66" s="113"/>
      <c r="AR66" s="113"/>
      <c r="AS66" s="113"/>
      <c r="AT66" s="113"/>
      <c r="AU66" s="113"/>
      <c r="AV66" s="113"/>
      <c r="AW66" s="113"/>
      <c r="AX66" s="113"/>
      <c r="AY66" s="113"/>
      <c r="AZ66" s="113"/>
      <c r="BA66" s="113"/>
      <c r="BB66" s="113"/>
      <c r="BC66" s="113"/>
      <c r="BD66" s="113"/>
      <c r="BE66" s="113"/>
      <c r="BF66" s="113"/>
      <c r="BG66" s="113"/>
      <c r="BH66" s="113"/>
      <c r="BI66" s="113"/>
      <c r="BJ66" s="113"/>
      <c r="BK66" s="113"/>
      <c r="BL66" s="113"/>
      <c r="BM66" s="113"/>
      <c r="BN66" s="113"/>
      <c r="BO66" s="113"/>
      <c r="BP66" s="113"/>
      <c r="BQ66" s="113"/>
      <c r="BR66" s="113"/>
    </row>
    <row r="67" spans="1:70" ht="20.25" customHeight="1" thickBot="1">
      <c r="A67" s="1291"/>
      <c r="B67" s="1292"/>
      <c r="C67" s="1292"/>
      <c r="D67" s="1256"/>
      <c r="E67" s="1252"/>
      <c r="F67" s="1253"/>
      <c r="G67" s="1253"/>
      <c r="H67" s="1253"/>
      <c r="I67" s="1254"/>
      <c r="J67" s="1252"/>
      <c r="K67" s="1253"/>
      <c r="L67" s="1253"/>
      <c r="M67" s="1253"/>
      <c r="N67" s="1254"/>
      <c r="O67" s="1249"/>
      <c r="P67" s="1250"/>
      <c r="Q67" s="1250"/>
      <c r="R67" s="1249"/>
      <c r="S67" s="1250"/>
      <c r="T67" s="1250"/>
      <c r="U67" s="1250"/>
      <c r="V67" s="1251"/>
      <c r="W67" s="1255"/>
      <c r="X67" s="1256"/>
      <c r="Y67" s="1255"/>
      <c r="Z67" s="1256"/>
      <c r="AA67" s="1320"/>
      <c r="AB67" s="1321"/>
      <c r="AC67" s="1321"/>
      <c r="AD67" s="1321"/>
      <c r="AE67" s="1321"/>
      <c r="AF67" s="1321"/>
      <c r="AG67" s="1321"/>
      <c r="AH67" s="1321"/>
      <c r="AI67" s="1321"/>
      <c r="AJ67" s="1321"/>
      <c r="AK67" s="1321"/>
      <c r="AL67" s="1321"/>
      <c r="AM67" s="1321"/>
      <c r="AN67" s="1322"/>
      <c r="AO67" s="113"/>
      <c r="AP67" s="113"/>
      <c r="AQ67" s="113"/>
      <c r="AR67" s="113"/>
      <c r="AS67" s="113"/>
      <c r="AT67" s="113"/>
      <c r="AU67" s="113"/>
      <c r="AV67" s="113"/>
      <c r="AW67" s="113"/>
      <c r="AX67" s="113"/>
      <c r="AY67" s="113"/>
      <c r="AZ67" s="113"/>
      <c r="BA67" s="113"/>
      <c r="BB67" s="113"/>
      <c r="BC67" s="113"/>
      <c r="BD67" s="113"/>
      <c r="BE67" s="113"/>
      <c r="BF67" s="113"/>
      <c r="BG67" s="113"/>
      <c r="BH67" s="113"/>
      <c r="BI67" s="113"/>
      <c r="BJ67" s="113"/>
      <c r="BK67" s="113"/>
      <c r="BL67" s="113"/>
      <c r="BM67" s="113"/>
      <c r="BN67" s="113"/>
      <c r="BO67" s="113"/>
      <c r="BP67" s="113"/>
      <c r="BQ67" s="113"/>
      <c r="BR67" s="113"/>
    </row>
    <row r="68" spans="1:70" ht="3" customHeight="1" thickBot="1">
      <c r="A68" s="113"/>
      <c r="B68" s="113"/>
      <c r="C68" s="113"/>
      <c r="D68" s="113"/>
      <c r="E68" s="113"/>
      <c r="F68" s="113"/>
      <c r="G68" s="113"/>
      <c r="H68" s="113"/>
      <c r="I68" s="113"/>
      <c r="J68" s="113"/>
      <c r="K68" s="113"/>
      <c r="L68" s="113"/>
      <c r="M68" s="113"/>
      <c r="N68" s="113"/>
      <c r="O68" s="113"/>
      <c r="P68" s="113"/>
      <c r="Q68" s="113"/>
      <c r="R68" s="113"/>
      <c r="S68" s="113"/>
      <c r="T68" s="113"/>
      <c r="U68" s="113"/>
      <c r="V68" s="113"/>
      <c r="W68" s="113"/>
      <c r="X68" s="113"/>
      <c r="Y68" s="113"/>
      <c r="Z68" s="113"/>
      <c r="AA68" s="113"/>
      <c r="AB68" s="113"/>
      <c r="AC68" s="113"/>
      <c r="AD68" s="113"/>
      <c r="AE68" s="113"/>
      <c r="AF68" s="113"/>
      <c r="AG68" s="113"/>
      <c r="AH68" s="113"/>
      <c r="AI68" s="113"/>
      <c r="AJ68" s="113"/>
      <c r="AK68" s="113"/>
      <c r="AL68" s="113"/>
      <c r="AM68" s="113"/>
      <c r="AN68" s="113"/>
      <c r="AO68" s="113"/>
      <c r="AP68" s="113"/>
      <c r="AQ68" s="113"/>
      <c r="AR68" s="113"/>
      <c r="AS68" s="113"/>
      <c r="AT68" s="113"/>
      <c r="AU68" s="113"/>
      <c r="AV68" s="113"/>
      <c r="AW68" s="113"/>
      <c r="AX68" s="113"/>
      <c r="AY68" s="113"/>
      <c r="AZ68" s="113"/>
      <c r="BA68" s="113"/>
      <c r="BB68" s="113"/>
      <c r="BC68" s="113"/>
      <c r="BD68" s="113"/>
      <c r="BE68" s="113"/>
      <c r="BF68" s="113"/>
      <c r="BG68" s="113"/>
      <c r="BH68" s="113"/>
      <c r="BI68" s="113"/>
      <c r="BJ68" s="113"/>
      <c r="BK68" s="113"/>
      <c r="BL68" s="113"/>
      <c r="BM68" s="113"/>
      <c r="BN68" s="113"/>
      <c r="BO68" s="113"/>
      <c r="BP68" s="113"/>
      <c r="BQ68" s="113"/>
      <c r="BR68" s="113"/>
    </row>
    <row r="69" spans="1:70" ht="16.5">
      <c r="A69" s="1231" t="str">
        <f>VLOOKUP("bestätigung lieferant",Translations!$A:$T,MATCH(Cover!DR19,Translations!A2:P2,0),0)</f>
        <v>Confirmation Supplier:</v>
      </c>
      <c r="B69" s="1232"/>
      <c r="C69" s="1232"/>
      <c r="D69" s="1232"/>
      <c r="E69" s="1232"/>
      <c r="F69" s="1232"/>
      <c r="G69" s="1232"/>
      <c r="H69" s="1232"/>
      <c r="I69" s="1232"/>
      <c r="J69" s="1232"/>
      <c r="K69" s="1232"/>
      <c r="L69" s="1232"/>
      <c r="M69" s="1232"/>
      <c r="N69" s="1232"/>
      <c r="O69" s="1232"/>
      <c r="P69" s="1232"/>
      <c r="Q69" s="1233"/>
      <c r="R69" s="1231" t="str">
        <f>Cover!B54</f>
        <v>Customer´s decision:</v>
      </c>
      <c r="S69" s="1232"/>
      <c r="T69" s="1232"/>
      <c r="U69" s="1232"/>
      <c r="V69" s="1232"/>
      <c r="W69" s="1232"/>
      <c r="X69" s="1232"/>
      <c r="Y69" s="1232"/>
      <c r="Z69" s="1232"/>
      <c r="AA69" s="1232"/>
      <c r="AB69" s="1232"/>
      <c r="AC69" s="1232"/>
      <c r="AD69" s="1232"/>
      <c r="AE69" s="1232"/>
      <c r="AF69" s="1232"/>
      <c r="AG69" s="1232"/>
      <c r="AH69" s="1232"/>
      <c r="AI69" s="1232"/>
      <c r="AJ69" s="1232"/>
      <c r="AK69" s="1232"/>
      <c r="AL69" s="1232"/>
      <c r="AM69" s="1232"/>
      <c r="AN69" s="1233"/>
      <c r="AO69" s="113"/>
      <c r="AP69" s="113"/>
      <c r="AQ69" s="113"/>
      <c r="AR69" s="113"/>
      <c r="AS69" s="113"/>
      <c r="AT69" s="113"/>
      <c r="AU69" s="113"/>
      <c r="AV69" s="113"/>
      <c r="AW69" s="113"/>
      <c r="AX69" s="113"/>
      <c r="AY69" s="113"/>
      <c r="AZ69" s="113"/>
      <c r="BA69" s="113"/>
      <c r="BB69" s="113"/>
      <c r="BC69" s="113"/>
      <c r="BD69" s="113"/>
      <c r="BE69" s="113"/>
      <c r="BF69" s="113"/>
      <c r="BG69" s="113"/>
      <c r="BH69" s="113"/>
      <c r="BI69" s="113"/>
      <c r="BJ69" s="113"/>
      <c r="BK69" s="113"/>
      <c r="BL69" s="113"/>
      <c r="BM69" s="113"/>
      <c r="BN69" s="113"/>
      <c r="BO69" s="113"/>
      <c r="BP69" s="113"/>
      <c r="BQ69" s="113"/>
      <c r="BR69" s="113"/>
    </row>
    <row r="70" spans="1:70" ht="16.5">
      <c r="A70" s="1228" t="str">
        <f>VLOOKUP("bemerkungen",Translations!$A:$T,MATCH(Cover!DR19,Translations!A2:P2,0),0)</f>
        <v>Comments:</v>
      </c>
      <c r="B70" s="1229"/>
      <c r="C70" s="1229"/>
      <c r="D70" s="1229"/>
      <c r="E70" s="1229"/>
      <c r="F70" s="1229"/>
      <c r="G70" s="1229"/>
      <c r="H70" s="1229"/>
      <c r="I70" s="1229"/>
      <c r="J70" s="1229"/>
      <c r="K70" s="1229"/>
      <c r="L70" s="1229"/>
      <c r="M70" s="1229"/>
      <c r="N70" s="1229"/>
      <c r="O70" s="1229"/>
      <c r="P70" s="1229"/>
      <c r="Q70" s="1230"/>
      <c r="R70" s="1234"/>
      <c r="S70" s="1235"/>
      <c r="T70" s="1235"/>
      <c r="U70" s="1235"/>
      <c r="V70" s="1235"/>
      <c r="W70" s="1235"/>
      <c r="X70" s="1235"/>
      <c r="Y70" s="1235"/>
      <c r="Z70" s="1235"/>
      <c r="AA70" s="1235"/>
      <c r="AB70" s="1235"/>
      <c r="AC70" s="1235"/>
      <c r="AD70" s="1235"/>
      <c r="AE70" s="1235"/>
      <c r="AF70" s="1235"/>
      <c r="AG70" s="1235"/>
      <c r="AH70" s="1235"/>
      <c r="AI70" s="1235"/>
      <c r="AJ70" s="1235"/>
      <c r="AK70" s="1235"/>
      <c r="AL70" s="1235"/>
      <c r="AM70" s="1235"/>
      <c r="AN70" s="1236"/>
      <c r="AO70" s="113"/>
      <c r="AP70" s="113"/>
      <c r="AQ70" s="113"/>
      <c r="AR70" s="113"/>
      <c r="AS70" s="113"/>
      <c r="AT70" s="113"/>
      <c r="AU70" s="113"/>
      <c r="AV70" s="113"/>
      <c r="AW70" s="113"/>
      <c r="AX70" s="113"/>
      <c r="AY70" s="113"/>
      <c r="AZ70" s="113"/>
      <c r="BA70" s="113"/>
      <c r="BB70" s="113"/>
      <c r="BC70" s="113"/>
      <c r="BD70" s="113"/>
      <c r="BE70" s="113"/>
      <c r="BF70" s="113"/>
      <c r="BG70" s="113"/>
      <c r="BH70" s="113"/>
      <c r="BI70" s="113"/>
      <c r="BJ70" s="113"/>
      <c r="BK70" s="113"/>
      <c r="BL70" s="113"/>
      <c r="BM70" s="113"/>
      <c r="BN70" s="113"/>
      <c r="BO70" s="113"/>
      <c r="BP70" s="113"/>
      <c r="BQ70" s="113"/>
      <c r="BR70" s="113"/>
    </row>
    <row r="71" spans="1:70" ht="3" customHeight="1">
      <c r="A71" s="1305"/>
      <c r="B71" s="1306"/>
      <c r="C71" s="1306"/>
      <c r="D71" s="1306"/>
      <c r="E71" s="1306"/>
      <c r="F71" s="1306"/>
      <c r="G71" s="1306"/>
      <c r="H71" s="1306"/>
      <c r="I71" s="1306"/>
      <c r="J71" s="1306"/>
      <c r="K71" s="1306"/>
      <c r="L71" s="1306"/>
      <c r="M71" s="1306"/>
      <c r="N71" s="1306"/>
      <c r="O71" s="1306"/>
      <c r="P71" s="1306"/>
      <c r="Q71" s="1307"/>
      <c r="R71" s="1239" t="str">
        <f>VLOOKUP("freittttt",Translations!$A:$T,MATCH(Cover!DR19,Translations!A2:P2,0),0)</f>
        <v>Approved</v>
      </c>
      <c r="S71" s="1240"/>
      <c r="T71" s="1240"/>
      <c r="U71" s="1240"/>
      <c r="V71" s="1240"/>
      <c r="W71" s="1240"/>
      <c r="X71" s="1240"/>
      <c r="Y71" s="1240"/>
      <c r="Z71" s="1240"/>
      <c r="AA71" s="1240"/>
      <c r="AB71" s="1240"/>
      <c r="AC71" s="1240"/>
      <c r="AD71" s="1240"/>
      <c r="AE71" s="1240"/>
      <c r="AF71" s="1240"/>
      <c r="AG71" s="1240"/>
      <c r="AH71" s="1240"/>
      <c r="AI71" s="1240"/>
      <c r="AJ71" s="1241"/>
      <c r="AK71" s="290"/>
      <c r="AL71" s="291"/>
      <c r="AM71" s="291"/>
      <c r="AN71" s="292"/>
      <c r="AO71" s="113"/>
      <c r="AP71" s="113"/>
      <c r="AQ71" s="113"/>
      <c r="AR71" s="113"/>
      <c r="AS71" s="113"/>
      <c r="AT71" s="113"/>
      <c r="AU71" s="113"/>
      <c r="AV71" s="113"/>
      <c r="AW71" s="113"/>
      <c r="AX71" s="113"/>
      <c r="AY71" s="113"/>
      <c r="AZ71" s="113"/>
      <c r="BA71" s="113"/>
      <c r="BB71" s="113"/>
      <c r="BC71" s="113"/>
      <c r="BD71" s="113"/>
      <c r="BE71" s="113"/>
      <c r="BF71" s="113"/>
      <c r="BG71" s="113"/>
      <c r="BH71" s="113"/>
      <c r="BI71" s="113"/>
      <c r="BJ71" s="113"/>
      <c r="BK71" s="113"/>
      <c r="BL71" s="113"/>
      <c r="BM71" s="113"/>
      <c r="BN71" s="113"/>
      <c r="BO71" s="113"/>
      <c r="BP71" s="113"/>
      <c r="BQ71" s="113"/>
      <c r="BR71" s="113"/>
    </row>
    <row r="72" spans="1:70" ht="15.95" customHeight="1">
      <c r="A72" s="1305"/>
      <c r="B72" s="1306"/>
      <c r="C72" s="1306"/>
      <c r="D72" s="1306"/>
      <c r="E72" s="1306"/>
      <c r="F72" s="1306"/>
      <c r="G72" s="1306"/>
      <c r="H72" s="1306"/>
      <c r="I72" s="1306"/>
      <c r="J72" s="1306"/>
      <c r="K72" s="1306"/>
      <c r="L72" s="1306"/>
      <c r="M72" s="1306"/>
      <c r="N72" s="1306"/>
      <c r="O72" s="1306"/>
      <c r="P72" s="1306"/>
      <c r="Q72" s="1307"/>
      <c r="R72" s="1242"/>
      <c r="S72" s="1243"/>
      <c r="T72" s="1243"/>
      <c r="U72" s="1243"/>
      <c r="V72" s="1243"/>
      <c r="W72" s="1243"/>
      <c r="X72" s="1243"/>
      <c r="Y72" s="1243"/>
      <c r="Z72" s="1243"/>
      <c r="AA72" s="1243"/>
      <c r="AB72" s="1243"/>
      <c r="AC72" s="1243"/>
      <c r="AD72" s="1243"/>
      <c r="AE72" s="1243"/>
      <c r="AF72" s="1243"/>
      <c r="AG72" s="1243"/>
      <c r="AH72" s="1243"/>
      <c r="AI72" s="1243"/>
      <c r="AJ72" s="1244"/>
      <c r="AK72" s="293"/>
      <c r="AL72" s="1237"/>
      <c r="AM72" s="1238"/>
      <c r="AN72" s="294"/>
      <c r="AO72" s="113"/>
      <c r="AP72" s="113"/>
      <c r="AQ72" s="113"/>
      <c r="AR72" s="113"/>
      <c r="AS72" s="113"/>
      <c r="AT72" s="113"/>
      <c r="AU72" s="113"/>
      <c r="AV72" s="113"/>
      <c r="AW72" s="113"/>
      <c r="AX72" s="113"/>
      <c r="AY72" s="113"/>
      <c r="AZ72" s="113"/>
      <c r="BA72" s="113"/>
      <c r="BB72" s="113"/>
      <c r="BC72" s="113"/>
      <c r="BD72" s="113"/>
      <c r="BE72" s="113"/>
      <c r="BF72" s="113"/>
      <c r="BG72" s="113"/>
      <c r="BH72" s="113"/>
      <c r="BI72" s="113"/>
      <c r="BJ72" s="113"/>
      <c r="BK72" s="113"/>
      <c r="BL72" s="113"/>
      <c r="BM72" s="113"/>
      <c r="BN72" s="113"/>
      <c r="BO72" s="113"/>
      <c r="BP72" s="113"/>
      <c r="BQ72" s="113"/>
      <c r="BR72" s="113"/>
    </row>
    <row r="73" spans="1:70" ht="3" customHeight="1">
      <c r="A73" s="1305"/>
      <c r="B73" s="1306"/>
      <c r="C73" s="1306"/>
      <c r="D73" s="1306"/>
      <c r="E73" s="1306"/>
      <c r="F73" s="1306"/>
      <c r="G73" s="1306"/>
      <c r="H73" s="1306"/>
      <c r="I73" s="1306"/>
      <c r="J73" s="1306"/>
      <c r="K73" s="1306"/>
      <c r="L73" s="1306"/>
      <c r="M73" s="1306"/>
      <c r="N73" s="1306"/>
      <c r="O73" s="1306"/>
      <c r="P73" s="1306"/>
      <c r="Q73" s="1307"/>
      <c r="R73" s="1245"/>
      <c r="S73" s="1246"/>
      <c r="T73" s="1246"/>
      <c r="U73" s="1246"/>
      <c r="V73" s="1246"/>
      <c r="W73" s="1246"/>
      <c r="X73" s="1246"/>
      <c r="Y73" s="1246"/>
      <c r="Z73" s="1246"/>
      <c r="AA73" s="1246"/>
      <c r="AB73" s="1246"/>
      <c r="AC73" s="1246"/>
      <c r="AD73" s="1246"/>
      <c r="AE73" s="1246"/>
      <c r="AF73" s="1246"/>
      <c r="AG73" s="1246"/>
      <c r="AH73" s="1246"/>
      <c r="AI73" s="1246"/>
      <c r="AJ73" s="1247"/>
      <c r="AK73" s="295"/>
      <c r="AL73" s="296"/>
      <c r="AM73" s="296"/>
      <c r="AN73" s="278"/>
      <c r="AO73" s="113"/>
      <c r="AP73" s="113"/>
      <c r="AQ73" s="113"/>
      <c r="AR73" s="113"/>
      <c r="AS73" s="113"/>
      <c r="AT73" s="113"/>
      <c r="AU73" s="113"/>
      <c r="AV73" s="113"/>
      <c r="AW73" s="113"/>
      <c r="AX73" s="113"/>
      <c r="AY73" s="113"/>
      <c r="AZ73" s="113"/>
      <c r="BA73" s="113"/>
      <c r="BB73" s="113"/>
      <c r="BC73" s="113"/>
      <c r="BD73" s="113"/>
      <c r="BE73" s="113"/>
      <c r="BF73" s="113"/>
      <c r="BG73" s="113"/>
      <c r="BH73" s="113"/>
      <c r="BI73" s="113"/>
      <c r="BJ73" s="113"/>
      <c r="BK73" s="113"/>
      <c r="BL73" s="113"/>
      <c r="BM73" s="113"/>
      <c r="BN73" s="113"/>
      <c r="BO73" s="113"/>
      <c r="BP73" s="113"/>
      <c r="BQ73" s="113"/>
      <c r="BR73" s="113"/>
    </row>
    <row r="74" spans="1:70" ht="3" customHeight="1">
      <c r="A74" s="1305"/>
      <c r="B74" s="1306"/>
      <c r="C74" s="1306"/>
      <c r="D74" s="1306"/>
      <c r="E74" s="1306"/>
      <c r="F74" s="1306"/>
      <c r="G74" s="1306"/>
      <c r="H74" s="1306"/>
      <c r="I74" s="1306"/>
      <c r="J74" s="1306"/>
      <c r="K74" s="1306"/>
      <c r="L74" s="1306"/>
      <c r="M74" s="1306"/>
      <c r="N74" s="1306"/>
      <c r="O74" s="1306"/>
      <c r="P74" s="1306"/>
      <c r="Q74" s="1307"/>
      <c r="R74" s="1239" t="str">
        <f>VLOOKUP("abgelehnt",Translations!$A:$T,MATCH(Cover!DR19,Translations!A2:P2,0),0)</f>
        <v>Rejected  -  re-sampling required</v>
      </c>
      <c r="S74" s="1240"/>
      <c r="T74" s="1240"/>
      <c r="U74" s="1240"/>
      <c r="V74" s="1240"/>
      <c r="W74" s="1240"/>
      <c r="X74" s="1240"/>
      <c r="Y74" s="1240"/>
      <c r="Z74" s="1240"/>
      <c r="AA74" s="1240"/>
      <c r="AB74" s="1240"/>
      <c r="AC74" s="1240"/>
      <c r="AD74" s="1240"/>
      <c r="AE74" s="1240"/>
      <c r="AF74" s="1240"/>
      <c r="AG74" s="1240"/>
      <c r="AH74" s="1240"/>
      <c r="AI74" s="1240"/>
      <c r="AJ74" s="1240"/>
      <c r="AK74" s="290"/>
      <c r="AL74" s="291"/>
      <c r="AM74" s="291"/>
      <c r="AN74" s="292"/>
      <c r="AO74" s="113"/>
      <c r="AP74" s="113"/>
      <c r="AQ74" s="113"/>
      <c r="AR74" s="113"/>
      <c r="AS74" s="113"/>
      <c r="AT74" s="113"/>
      <c r="AU74" s="113"/>
      <c r="AV74" s="113"/>
      <c r="AW74" s="113"/>
      <c r="AX74" s="113"/>
      <c r="AY74" s="113"/>
      <c r="AZ74" s="113"/>
      <c r="BA74" s="113"/>
      <c r="BB74" s="113"/>
      <c r="BC74" s="113"/>
      <c r="BD74" s="113"/>
      <c r="BE74" s="113"/>
      <c r="BF74" s="113"/>
      <c r="BG74" s="113"/>
      <c r="BH74" s="113"/>
      <c r="BI74" s="113"/>
      <c r="BJ74" s="113"/>
      <c r="BK74" s="113"/>
      <c r="BL74" s="113"/>
      <c r="BM74" s="113"/>
      <c r="BN74" s="113"/>
      <c r="BO74" s="113"/>
      <c r="BP74" s="113"/>
      <c r="BQ74" s="113"/>
      <c r="BR74" s="113"/>
    </row>
    <row r="75" spans="1:70" ht="15.95" customHeight="1">
      <c r="A75" s="1305"/>
      <c r="B75" s="1306"/>
      <c r="C75" s="1306"/>
      <c r="D75" s="1306"/>
      <c r="E75" s="1306"/>
      <c r="F75" s="1306"/>
      <c r="G75" s="1306"/>
      <c r="H75" s="1306"/>
      <c r="I75" s="1306"/>
      <c r="J75" s="1306"/>
      <c r="K75" s="1306"/>
      <c r="L75" s="1306"/>
      <c r="M75" s="1306"/>
      <c r="N75" s="1306"/>
      <c r="O75" s="1306"/>
      <c r="P75" s="1306"/>
      <c r="Q75" s="1307"/>
      <c r="R75" s="1242"/>
      <c r="S75" s="1243"/>
      <c r="T75" s="1243"/>
      <c r="U75" s="1243"/>
      <c r="V75" s="1243"/>
      <c r="W75" s="1243"/>
      <c r="X75" s="1243"/>
      <c r="Y75" s="1243"/>
      <c r="Z75" s="1243"/>
      <c r="AA75" s="1243"/>
      <c r="AB75" s="1243"/>
      <c r="AC75" s="1243"/>
      <c r="AD75" s="1243"/>
      <c r="AE75" s="1243"/>
      <c r="AF75" s="1243"/>
      <c r="AG75" s="1243"/>
      <c r="AH75" s="1243"/>
      <c r="AI75" s="1243"/>
      <c r="AJ75" s="1243"/>
      <c r="AK75" s="297"/>
      <c r="AL75" s="1237"/>
      <c r="AM75" s="1238"/>
      <c r="AN75" s="298"/>
      <c r="AO75" s="113"/>
      <c r="AP75" s="113"/>
      <c r="AQ75" s="113"/>
      <c r="AR75" s="113"/>
      <c r="AS75" s="113"/>
      <c r="AT75" s="113"/>
      <c r="AU75" s="113"/>
      <c r="AV75" s="113"/>
      <c r="AW75" s="113"/>
      <c r="AX75" s="113"/>
      <c r="AY75" s="113"/>
      <c r="AZ75" s="113"/>
      <c r="BA75" s="113"/>
      <c r="BB75" s="113"/>
      <c r="BC75" s="113"/>
      <c r="BD75" s="113"/>
      <c r="BE75" s="113"/>
      <c r="BF75" s="113"/>
      <c r="BG75" s="113"/>
      <c r="BH75" s="113"/>
      <c r="BI75" s="113"/>
      <c r="BJ75" s="113"/>
      <c r="BK75" s="113"/>
      <c r="BL75" s="113"/>
      <c r="BM75" s="113"/>
      <c r="BN75" s="113"/>
      <c r="BO75" s="113"/>
      <c r="BP75" s="113"/>
      <c r="BQ75" s="113"/>
      <c r="BR75" s="113"/>
    </row>
    <row r="76" spans="1:70" ht="3" customHeight="1">
      <c r="A76" s="1305"/>
      <c r="B76" s="1306"/>
      <c r="C76" s="1306"/>
      <c r="D76" s="1306"/>
      <c r="E76" s="1306"/>
      <c r="F76" s="1306"/>
      <c r="G76" s="1306"/>
      <c r="H76" s="1306"/>
      <c r="I76" s="1306"/>
      <c r="J76" s="1306"/>
      <c r="K76" s="1306"/>
      <c r="L76" s="1306"/>
      <c r="M76" s="1306"/>
      <c r="N76" s="1306"/>
      <c r="O76" s="1306"/>
      <c r="P76" s="1306"/>
      <c r="Q76" s="1307"/>
      <c r="R76" s="1245"/>
      <c r="S76" s="1246"/>
      <c r="T76" s="1246"/>
      <c r="U76" s="1246"/>
      <c r="V76" s="1246"/>
      <c r="W76" s="1246"/>
      <c r="X76" s="1246"/>
      <c r="Y76" s="1246"/>
      <c r="Z76" s="1246"/>
      <c r="AA76" s="1246"/>
      <c r="AB76" s="1246"/>
      <c r="AC76" s="1246"/>
      <c r="AD76" s="1246"/>
      <c r="AE76" s="1246"/>
      <c r="AF76" s="1246"/>
      <c r="AG76" s="1246"/>
      <c r="AH76" s="1246"/>
      <c r="AI76" s="1246"/>
      <c r="AJ76" s="1246"/>
      <c r="AK76" s="295"/>
      <c r="AL76" s="296"/>
      <c r="AM76" s="296"/>
      <c r="AN76" s="278"/>
      <c r="AO76" s="113"/>
      <c r="AP76" s="113"/>
      <c r="AQ76" s="113"/>
      <c r="AR76" s="113"/>
      <c r="AS76" s="113"/>
      <c r="AT76" s="113"/>
      <c r="AU76" s="113"/>
      <c r="AV76" s="113"/>
      <c r="AW76" s="113"/>
      <c r="AX76" s="113"/>
      <c r="AY76" s="113"/>
      <c r="AZ76" s="113"/>
      <c r="BA76" s="113"/>
      <c r="BB76" s="113"/>
      <c r="BC76" s="113"/>
      <c r="BD76" s="113"/>
      <c r="BE76" s="113"/>
      <c r="BF76" s="113"/>
      <c r="BG76" s="113"/>
      <c r="BH76" s="113"/>
      <c r="BI76" s="113"/>
      <c r="BJ76" s="113"/>
      <c r="BK76" s="113"/>
      <c r="BL76" s="113"/>
      <c r="BM76" s="113"/>
      <c r="BN76" s="113"/>
      <c r="BO76" s="113"/>
      <c r="BP76" s="113"/>
      <c r="BQ76" s="113"/>
      <c r="BR76" s="113"/>
    </row>
    <row r="77" spans="1:70" ht="16.5">
      <c r="A77" s="1305"/>
      <c r="B77" s="1306"/>
      <c r="C77" s="1306"/>
      <c r="D77" s="1306"/>
      <c r="E77" s="1306"/>
      <c r="F77" s="1306"/>
      <c r="G77" s="1306"/>
      <c r="H77" s="1306"/>
      <c r="I77" s="1306"/>
      <c r="J77" s="1306"/>
      <c r="K77" s="1306"/>
      <c r="L77" s="1306"/>
      <c r="M77" s="1306"/>
      <c r="N77" s="1306"/>
      <c r="O77" s="1306"/>
      <c r="P77" s="1306"/>
      <c r="Q77" s="1307"/>
      <c r="R77" s="1311" t="str">
        <f>VLOOKUP("bemerkungen",Translations!$A:$T,MATCH(Cover!DR19,Translations!A2:P2,0),0)</f>
        <v>Comments:</v>
      </c>
      <c r="S77" s="1312"/>
      <c r="T77" s="1312"/>
      <c r="U77" s="1312"/>
      <c r="V77" s="1312"/>
      <c r="W77" s="1312"/>
      <c r="X77" s="1312"/>
      <c r="Y77" s="1312"/>
      <c r="Z77" s="938"/>
      <c r="AA77" s="938"/>
      <c r="AB77" s="938"/>
      <c r="AC77" s="938"/>
      <c r="AD77" s="938"/>
      <c r="AE77" s="938"/>
      <c r="AF77" s="938"/>
      <c r="AG77" s="938"/>
      <c r="AH77" s="938"/>
      <c r="AI77" s="938"/>
      <c r="AJ77" s="938"/>
      <c r="AK77" s="938"/>
      <c r="AL77" s="938"/>
      <c r="AM77" s="938"/>
      <c r="AN77" s="939"/>
      <c r="AO77" s="113"/>
      <c r="AP77" s="113"/>
      <c r="AQ77" s="113"/>
      <c r="AR77" s="113"/>
      <c r="AS77" s="113"/>
      <c r="AT77" s="113"/>
      <c r="AU77" s="113"/>
      <c r="AV77" s="113"/>
      <c r="AW77" s="113"/>
      <c r="AX77" s="113"/>
      <c r="AY77" s="113"/>
      <c r="AZ77" s="113"/>
      <c r="BA77" s="113"/>
      <c r="BB77" s="113"/>
      <c r="BC77" s="113"/>
      <c r="BD77" s="113"/>
      <c r="BE77" s="113"/>
      <c r="BF77" s="113"/>
      <c r="BG77" s="113"/>
      <c r="BH77" s="113"/>
      <c r="BI77" s="113"/>
      <c r="BJ77" s="113"/>
      <c r="BK77" s="113"/>
      <c r="BL77" s="113"/>
      <c r="BM77" s="113"/>
      <c r="BN77" s="113"/>
      <c r="BO77" s="113"/>
      <c r="BP77" s="113"/>
      <c r="BQ77" s="113"/>
      <c r="BR77" s="113"/>
    </row>
    <row r="78" spans="1:70" ht="10.5" customHeight="1">
      <c r="A78" s="1305"/>
      <c r="B78" s="1306"/>
      <c r="C78" s="1306"/>
      <c r="D78" s="1306"/>
      <c r="E78" s="1306"/>
      <c r="F78" s="1306"/>
      <c r="G78" s="1306"/>
      <c r="H78" s="1306"/>
      <c r="I78" s="1306"/>
      <c r="J78" s="1306"/>
      <c r="K78" s="1306"/>
      <c r="L78" s="1306"/>
      <c r="M78" s="1306"/>
      <c r="N78" s="1306"/>
      <c r="O78" s="1306"/>
      <c r="P78" s="1306"/>
      <c r="Q78" s="1307"/>
      <c r="R78" s="1021"/>
      <c r="S78" s="1022"/>
      <c r="T78" s="1022"/>
      <c r="U78" s="1022"/>
      <c r="V78" s="1022"/>
      <c r="W78" s="1022"/>
      <c r="X78" s="1022"/>
      <c r="Y78" s="1022"/>
      <c r="Z78" s="1022"/>
      <c r="AA78" s="1022"/>
      <c r="AB78" s="1022"/>
      <c r="AC78" s="1022"/>
      <c r="AD78" s="1022"/>
      <c r="AE78" s="1022"/>
      <c r="AF78" s="1022"/>
      <c r="AG78" s="1022"/>
      <c r="AH78" s="1022"/>
      <c r="AI78" s="1022"/>
      <c r="AJ78" s="1022"/>
      <c r="AK78" s="1022"/>
      <c r="AL78" s="1022"/>
      <c r="AM78" s="1022"/>
      <c r="AN78" s="1023"/>
      <c r="AO78" s="113"/>
      <c r="AP78" s="113"/>
      <c r="AQ78" s="113"/>
      <c r="AR78" s="113"/>
      <c r="AS78" s="113"/>
      <c r="AT78" s="113"/>
      <c r="AU78" s="113"/>
      <c r="AV78" s="113"/>
      <c r="AW78" s="113"/>
      <c r="AX78" s="113"/>
      <c r="AY78" s="113"/>
      <c r="AZ78" s="113"/>
      <c r="BA78" s="113"/>
      <c r="BB78" s="113"/>
      <c r="BC78" s="113"/>
      <c r="BD78" s="113"/>
      <c r="BE78" s="113"/>
      <c r="BF78" s="113"/>
      <c r="BG78" s="113"/>
      <c r="BH78" s="113"/>
      <c r="BI78" s="113"/>
      <c r="BJ78" s="113"/>
      <c r="BK78" s="113"/>
      <c r="BL78" s="113"/>
      <c r="BM78" s="113"/>
      <c r="BN78" s="113"/>
      <c r="BO78" s="113"/>
      <c r="BP78" s="113"/>
      <c r="BQ78" s="113"/>
      <c r="BR78" s="113"/>
    </row>
    <row r="79" spans="1:70" ht="11.25" customHeight="1">
      <c r="A79" s="1305"/>
      <c r="B79" s="1306"/>
      <c r="C79" s="1306"/>
      <c r="D79" s="1306"/>
      <c r="E79" s="1306"/>
      <c r="F79" s="1306"/>
      <c r="G79" s="1306"/>
      <c r="H79" s="1306"/>
      <c r="I79" s="1306"/>
      <c r="J79" s="1306"/>
      <c r="K79" s="1306"/>
      <c r="L79" s="1306"/>
      <c r="M79" s="1306"/>
      <c r="N79" s="1306"/>
      <c r="O79" s="1306"/>
      <c r="P79" s="1306"/>
      <c r="Q79" s="1307"/>
      <c r="R79" s="1021"/>
      <c r="S79" s="1022"/>
      <c r="T79" s="1022"/>
      <c r="U79" s="1022"/>
      <c r="V79" s="1022"/>
      <c r="W79" s="1022"/>
      <c r="X79" s="1022"/>
      <c r="Y79" s="1022"/>
      <c r="Z79" s="1022"/>
      <c r="AA79" s="1022"/>
      <c r="AB79" s="1022"/>
      <c r="AC79" s="1022"/>
      <c r="AD79" s="1022"/>
      <c r="AE79" s="1022"/>
      <c r="AF79" s="1022"/>
      <c r="AG79" s="1022"/>
      <c r="AH79" s="1022"/>
      <c r="AI79" s="1022"/>
      <c r="AJ79" s="1022"/>
      <c r="AK79" s="1022"/>
      <c r="AL79" s="1022"/>
      <c r="AM79" s="1022"/>
      <c r="AN79" s="1023"/>
      <c r="AO79" s="113"/>
      <c r="AP79" s="113"/>
      <c r="AQ79" s="113"/>
      <c r="AR79" s="113"/>
      <c r="AS79" s="113"/>
      <c r="AT79" s="113"/>
      <c r="AU79" s="113"/>
      <c r="AV79" s="113"/>
      <c r="AW79" s="113"/>
      <c r="AX79" s="113"/>
      <c r="AY79" s="113"/>
      <c r="AZ79" s="113"/>
      <c r="BA79" s="113"/>
      <c r="BB79" s="113"/>
      <c r="BC79" s="113"/>
      <c r="BD79" s="113"/>
      <c r="BE79" s="113"/>
      <c r="BF79" s="113"/>
      <c r="BG79" s="113"/>
      <c r="BH79" s="113"/>
      <c r="BI79" s="113"/>
      <c r="BJ79" s="113"/>
      <c r="BK79" s="113"/>
      <c r="BL79" s="113"/>
      <c r="BM79" s="113"/>
      <c r="BN79" s="113"/>
      <c r="BO79" s="113"/>
      <c r="BP79" s="113"/>
      <c r="BQ79" s="113"/>
      <c r="BR79" s="113"/>
    </row>
    <row r="80" spans="1:70" ht="11.25" customHeight="1" thickBot="1">
      <c r="A80" s="1308"/>
      <c r="B80" s="1309"/>
      <c r="C80" s="1309"/>
      <c r="D80" s="1309"/>
      <c r="E80" s="1309"/>
      <c r="F80" s="1309"/>
      <c r="G80" s="1309"/>
      <c r="H80" s="1309"/>
      <c r="I80" s="1309"/>
      <c r="J80" s="1309"/>
      <c r="K80" s="1309"/>
      <c r="L80" s="1309"/>
      <c r="M80" s="1309"/>
      <c r="N80" s="1309"/>
      <c r="O80" s="1309"/>
      <c r="P80" s="1309"/>
      <c r="Q80" s="1310"/>
      <c r="R80" s="1024"/>
      <c r="S80" s="1025"/>
      <c r="T80" s="1025"/>
      <c r="U80" s="1025"/>
      <c r="V80" s="1025"/>
      <c r="W80" s="1025"/>
      <c r="X80" s="1025"/>
      <c r="Y80" s="1025"/>
      <c r="Z80" s="1025"/>
      <c r="AA80" s="1025"/>
      <c r="AB80" s="1025"/>
      <c r="AC80" s="1025"/>
      <c r="AD80" s="1025"/>
      <c r="AE80" s="1025"/>
      <c r="AF80" s="1025"/>
      <c r="AG80" s="1025"/>
      <c r="AH80" s="1025"/>
      <c r="AI80" s="1025"/>
      <c r="AJ80" s="1025"/>
      <c r="AK80" s="1025"/>
      <c r="AL80" s="1025"/>
      <c r="AM80" s="1025"/>
      <c r="AN80" s="1026"/>
      <c r="AO80" s="113"/>
      <c r="AP80" s="113"/>
      <c r="AQ80" s="113"/>
      <c r="AR80" s="113"/>
      <c r="AS80" s="113"/>
      <c r="AT80" s="113"/>
      <c r="AU80" s="113"/>
      <c r="AV80" s="113"/>
      <c r="AW80" s="113"/>
      <c r="AX80" s="113"/>
      <c r="AY80" s="113"/>
      <c r="AZ80" s="113"/>
      <c r="BA80" s="113"/>
      <c r="BB80" s="113"/>
      <c r="BC80" s="113"/>
      <c r="BD80" s="113"/>
      <c r="BE80" s="113"/>
      <c r="BF80" s="113"/>
      <c r="BG80" s="113"/>
      <c r="BH80" s="113"/>
      <c r="BI80" s="113"/>
      <c r="BJ80" s="113"/>
      <c r="BK80" s="113"/>
      <c r="BL80" s="113"/>
      <c r="BM80" s="113"/>
      <c r="BN80" s="113"/>
      <c r="BO80" s="113"/>
      <c r="BP80" s="113"/>
      <c r="BQ80" s="113"/>
      <c r="BR80" s="113"/>
    </row>
    <row r="81" spans="1:70" ht="15.75" customHeight="1">
      <c r="A81" s="1313" t="str">
        <f>Content!A109</f>
        <v>Name:</v>
      </c>
      <c r="B81" s="1314"/>
      <c r="C81" s="1314"/>
      <c r="D81" s="1314"/>
      <c r="E81" s="1314"/>
      <c r="F81" s="1315"/>
      <c r="G81" s="1315"/>
      <c r="H81" s="1315"/>
      <c r="I81" s="1315"/>
      <c r="J81" s="1315"/>
      <c r="K81" s="1315"/>
      <c r="L81" s="1315"/>
      <c r="M81" s="1315"/>
      <c r="N81" s="1315"/>
      <c r="O81" s="1315"/>
      <c r="P81" s="1315"/>
      <c r="Q81" s="1316"/>
      <c r="R81" s="1313" t="str">
        <f>A81</f>
        <v>Name:</v>
      </c>
      <c r="S81" s="1314"/>
      <c r="T81" s="1314"/>
      <c r="U81" s="1314"/>
      <c r="V81" s="1314"/>
      <c r="W81" s="1315"/>
      <c r="X81" s="1315"/>
      <c r="Y81" s="1315"/>
      <c r="Z81" s="1315"/>
      <c r="AA81" s="1315"/>
      <c r="AB81" s="1315"/>
      <c r="AC81" s="1315"/>
      <c r="AD81" s="1315"/>
      <c r="AE81" s="1315"/>
      <c r="AF81" s="1315"/>
      <c r="AG81" s="1315"/>
      <c r="AH81" s="1315"/>
      <c r="AI81" s="1315"/>
      <c r="AJ81" s="1315"/>
      <c r="AK81" s="1315"/>
      <c r="AL81" s="1315"/>
      <c r="AM81" s="1315"/>
      <c r="AN81" s="1316"/>
      <c r="AO81" s="113"/>
      <c r="AP81" s="113"/>
      <c r="AQ81" s="113"/>
      <c r="AR81" s="113"/>
      <c r="AS81" s="113"/>
      <c r="AT81" s="113"/>
      <c r="AU81" s="113"/>
      <c r="AV81" s="113"/>
      <c r="AW81" s="113"/>
      <c r="AX81" s="113"/>
      <c r="AY81" s="113"/>
      <c r="AZ81" s="113"/>
      <c r="BA81" s="113"/>
      <c r="BB81" s="113"/>
      <c r="BC81" s="113"/>
      <c r="BD81" s="113"/>
      <c r="BE81" s="113"/>
      <c r="BF81" s="113"/>
      <c r="BG81" s="113"/>
      <c r="BH81" s="113"/>
      <c r="BI81" s="113"/>
      <c r="BJ81" s="113"/>
      <c r="BK81" s="113"/>
      <c r="BL81" s="113"/>
      <c r="BM81" s="113"/>
      <c r="BN81" s="113"/>
      <c r="BO81" s="113"/>
      <c r="BP81" s="113"/>
      <c r="BQ81" s="113"/>
      <c r="BR81" s="113"/>
    </row>
    <row r="82" spans="1:70" ht="15.75" customHeight="1">
      <c r="A82" s="1299" t="str">
        <f>Content!A110</f>
        <v>Department:</v>
      </c>
      <c r="B82" s="1300"/>
      <c r="C82" s="1300"/>
      <c r="D82" s="1300"/>
      <c r="E82" s="1300"/>
      <c r="F82" s="1300"/>
      <c r="G82" s="1301"/>
      <c r="H82" s="1301"/>
      <c r="I82" s="1301"/>
      <c r="J82" s="1301"/>
      <c r="K82" s="1301"/>
      <c r="L82" s="1301"/>
      <c r="M82" s="1301"/>
      <c r="N82" s="1301"/>
      <c r="O82" s="1301"/>
      <c r="P82" s="1301"/>
      <c r="Q82" s="1302"/>
      <c r="R82" s="1299" t="str">
        <f>A82</f>
        <v>Department:</v>
      </c>
      <c r="S82" s="1300"/>
      <c r="T82" s="1300"/>
      <c r="U82" s="1300"/>
      <c r="V82" s="1300"/>
      <c r="W82" s="1300"/>
      <c r="X82" s="1300"/>
      <c r="Y82" s="1301"/>
      <c r="Z82" s="1301"/>
      <c r="AA82" s="1301"/>
      <c r="AB82" s="1301"/>
      <c r="AC82" s="1301"/>
      <c r="AD82" s="1301"/>
      <c r="AE82" s="1301"/>
      <c r="AF82" s="1301"/>
      <c r="AG82" s="1301"/>
      <c r="AH82" s="1301"/>
      <c r="AI82" s="1301"/>
      <c r="AJ82" s="1301"/>
      <c r="AK82" s="1301"/>
      <c r="AL82" s="1301"/>
      <c r="AM82" s="1301"/>
      <c r="AN82" s="1302"/>
      <c r="AO82" s="113"/>
      <c r="AP82" s="113"/>
      <c r="AQ82" s="113"/>
      <c r="AR82" s="113"/>
      <c r="AS82" s="113"/>
      <c r="AT82" s="113"/>
      <c r="AU82" s="113"/>
      <c r="AV82" s="113"/>
      <c r="AW82" s="113"/>
      <c r="AX82" s="113"/>
      <c r="AY82" s="113"/>
      <c r="AZ82" s="113"/>
      <c r="BA82" s="113"/>
      <c r="BB82" s="113"/>
      <c r="BC82" s="113"/>
      <c r="BD82" s="113"/>
      <c r="BE82" s="113"/>
      <c r="BF82" s="113"/>
      <c r="BG82" s="113"/>
      <c r="BH82" s="113"/>
      <c r="BI82" s="113"/>
      <c r="BJ82" s="113"/>
      <c r="BK82" s="113"/>
      <c r="BL82" s="113"/>
      <c r="BM82" s="113"/>
      <c r="BN82" s="113"/>
      <c r="BO82" s="113"/>
      <c r="BP82" s="113"/>
      <c r="BQ82" s="113"/>
      <c r="BR82" s="113"/>
    </row>
    <row r="83" spans="1:70" ht="15.75" customHeight="1">
      <c r="A83" s="1299" t="str">
        <f>Content!A111</f>
        <v>Phone:</v>
      </c>
      <c r="B83" s="1300"/>
      <c r="C83" s="1300"/>
      <c r="D83" s="1300"/>
      <c r="E83" s="1300"/>
      <c r="F83" s="1301"/>
      <c r="G83" s="1301"/>
      <c r="H83" s="1301"/>
      <c r="I83" s="1301"/>
      <c r="J83" s="1301"/>
      <c r="K83" s="1301"/>
      <c r="L83" s="1301"/>
      <c r="M83" s="1301"/>
      <c r="N83" s="1301"/>
      <c r="O83" s="1301"/>
      <c r="P83" s="1301"/>
      <c r="Q83" s="1302"/>
      <c r="R83" s="1299" t="str">
        <f>A83</f>
        <v>Phone:</v>
      </c>
      <c r="S83" s="1300"/>
      <c r="T83" s="1300"/>
      <c r="U83" s="1300"/>
      <c r="V83" s="1300"/>
      <c r="W83" s="1300"/>
      <c r="X83" s="1301"/>
      <c r="Y83" s="1301"/>
      <c r="Z83" s="1301"/>
      <c r="AA83" s="1301"/>
      <c r="AB83" s="1301"/>
      <c r="AC83" s="1301"/>
      <c r="AD83" s="1301"/>
      <c r="AE83" s="1301"/>
      <c r="AF83" s="1301"/>
      <c r="AG83" s="1301"/>
      <c r="AH83" s="1301"/>
      <c r="AI83" s="1301"/>
      <c r="AJ83" s="1301"/>
      <c r="AK83" s="1301"/>
      <c r="AL83" s="1301"/>
      <c r="AM83" s="1301"/>
      <c r="AN83" s="1302"/>
      <c r="AO83" s="113"/>
      <c r="AP83" s="113"/>
      <c r="AQ83" s="113"/>
      <c r="AR83" s="113"/>
      <c r="AS83" s="113"/>
      <c r="AT83" s="113"/>
      <c r="AU83" s="113"/>
      <c r="AV83" s="113"/>
      <c r="AW83" s="113"/>
      <c r="AX83" s="113"/>
      <c r="AY83" s="113"/>
      <c r="AZ83" s="113"/>
      <c r="BA83" s="113"/>
      <c r="BB83" s="113"/>
      <c r="BC83" s="113"/>
      <c r="BD83" s="113"/>
      <c r="BE83" s="113"/>
      <c r="BF83" s="113"/>
      <c r="BG83" s="113"/>
      <c r="BH83" s="113"/>
      <c r="BI83" s="113"/>
      <c r="BJ83" s="113"/>
      <c r="BK83" s="113"/>
      <c r="BL83" s="113"/>
      <c r="BM83" s="113"/>
      <c r="BN83" s="113"/>
      <c r="BO83" s="113"/>
      <c r="BP83" s="113"/>
      <c r="BQ83" s="113"/>
      <c r="BR83" s="113"/>
    </row>
    <row r="84" spans="1:70" ht="15.75" customHeight="1">
      <c r="A84" s="1299" t="s">
        <v>72</v>
      </c>
      <c r="B84" s="1300"/>
      <c r="C84" s="1300"/>
      <c r="D84" s="1300"/>
      <c r="E84" s="1300"/>
      <c r="F84" s="1301"/>
      <c r="G84" s="1301"/>
      <c r="H84" s="1301"/>
      <c r="I84" s="1301"/>
      <c r="J84" s="1301"/>
      <c r="K84" s="1301"/>
      <c r="L84" s="1301"/>
      <c r="M84" s="1301"/>
      <c r="N84" s="1301"/>
      <c r="O84" s="1301"/>
      <c r="P84" s="1301"/>
      <c r="Q84" s="1302"/>
      <c r="R84" s="1299" t="s">
        <v>72</v>
      </c>
      <c r="S84" s="1300"/>
      <c r="T84" s="1300"/>
      <c r="U84" s="1300"/>
      <c r="V84" s="1300"/>
      <c r="W84" s="1301"/>
      <c r="X84" s="1301"/>
      <c r="Y84" s="1301"/>
      <c r="Z84" s="1301"/>
      <c r="AA84" s="1301"/>
      <c r="AB84" s="1301"/>
      <c r="AC84" s="1301"/>
      <c r="AD84" s="1301"/>
      <c r="AE84" s="1301"/>
      <c r="AF84" s="1301"/>
      <c r="AG84" s="1301"/>
      <c r="AH84" s="1301"/>
      <c r="AI84" s="1301"/>
      <c r="AJ84" s="1301"/>
      <c r="AK84" s="1301"/>
      <c r="AL84" s="1301"/>
      <c r="AM84" s="1301"/>
      <c r="AN84" s="1302"/>
      <c r="AO84" s="113"/>
      <c r="AP84" s="113"/>
      <c r="AQ84" s="113"/>
      <c r="AR84" s="113"/>
      <c r="AS84" s="113"/>
      <c r="AT84" s="113"/>
      <c r="AU84" s="113"/>
      <c r="AV84" s="113"/>
      <c r="AW84" s="113"/>
      <c r="AX84" s="113"/>
      <c r="AY84" s="113"/>
      <c r="AZ84" s="113"/>
      <c r="BA84" s="113"/>
      <c r="BB84" s="113"/>
      <c r="BC84" s="113"/>
      <c r="BD84" s="113"/>
      <c r="BE84" s="113"/>
      <c r="BF84" s="113"/>
      <c r="BG84" s="113"/>
      <c r="BH84" s="113"/>
      <c r="BI84" s="113"/>
      <c r="BJ84" s="113"/>
      <c r="BK84" s="113"/>
      <c r="BL84" s="113"/>
      <c r="BM84" s="113"/>
      <c r="BN84" s="113"/>
      <c r="BO84" s="113"/>
      <c r="BP84" s="113"/>
      <c r="BQ84" s="113"/>
      <c r="BR84" s="113"/>
    </row>
    <row r="85" spans="1:70" ht="15.75" customHeight="1">
      <c r="A85" s="1299" t="s">
        <v>478</v>
      </c>
      <c r="B85" s="1300"/>
      <c r="C85" s="1300"/>
      <c r="D85" s="1300"/>
      <c r="E85" s="1300"/>
      <c r="F85" s="1301"/>
      <c r="G85" s="1301"/>
      <c r="H85" s="1301"/>
      <c r="I85" s="1301"/>
      <c r="J85" s="1301"/>
      <c r="K85" s="1301"/>
      <c r="L85" s="1301"/>
      <c r="M85" s="1301"/>
      <c r="N85" s="1301"/>
      <c r="O85" s="1301"/>
      <c r="P85" s="1301"/>
      <c r="Q85" s="1302"/>
      <c r="R85" s="1299" t="s">
        <v>478</v>
      </c>
      <c r="S85" s="1300"/>
      <c r="T85" s="1300"/>
      <c r="U85" s="1300"/>
      <c r="V85" s="1300"/>
      <c r="W85" s="1301"/>
      <c r="X85" s="1301"/>
      <c r="Y85" s="1301"/>
      <c r="Z85" s="1301"/>
      <c r="AA85" s="1301"/>
      <c r="AB85" s="1301"/>
      <c r="AC85" s="1301"/>
      <c r="AD85" s="1301"/>
      <c r="AE85" s="1301"/>
      <c r="AF85" s="1301"/>
      <c r="AG85" s="1301"/>
      <c r="AH85" s="1301"/>
      <c r="AI85" s="1301"/>
      <c r="AJ85" s="1301"/>
      <c r="AK85" s="1301"/>
      <c r="AL85" s="1301"/>
      <c r="AM85" s="1301"/>
      <c r="AN85" s="1302"/>
      <c r="AO85" s="113"/>
      <c r="AP85" s="113"/>
      <c r="AQ85" s="113"/>
      <c r="AR85" s="113"/>
      <c r="AS85" s="113"/>
      <c r="AT85" s="113"/>
      <c r="AU85" s="113"/>
      <c r="AV85" s="113"/>
      <c r="AW85" s="113"/>
      <c r="AX85" s="113"/>
      <c r="AY85" s="113"/>
      <c r="AZ85" s="113"/>
      <c r="BA85" s="113"/>
      <c r="BB85" s="113"/>
      <c r="BC85" s="113"/>
      <c r="BD85" s="113"/>
      <c r="BE85" s="113"/>
      <c r="BF85" s="113"/>
      <c r="BG85" s="113"/>
      <c r="BH85" s="113"/>
      <c r="BI85" s="113"/>
      <c r="BJ85" s="113"/>
      <c r="BK85" s="113"/>
      <c r="BL85" s="113"/>
      <c r="BM85" s="113"/>
      <c r="BN85" s="113"/>
      <c r="BO85" s="113"/>
      <c r="BP85" s="113"/>
      <c r="BQ85" s="113"/>
      <c r="BR85" s="113"/>
    </row>
    <row r="86" spans="1:70" ht="33.75" customHeight="1" thickBot="1">
      <c r="A86" s="1293" t="str">
        <f>Content!A114</f>
        <v>Date:</v>
      </c>
      <c r="B86" s="1294"/>
      <c r="C86" s="1294"/>
      <c r="D86" s="1294"/>
      <c r="E86" s="1294"/>
      <c r="F86" s="1295"/>
      <c r="G86" s="1296"/>
      <c r="H86" s="1297" t="str">
        <f>Content!N114</f>
        <v>Signature:</v>
      </c>
      <c r="I86" s="1297"/>
      <c r="J86" s="1297"/>
      <c r="K86" s="1297"/>
      <c r="L86" s="1296"/>
      <c r="M86" s="1296"/>
      <c r="N86" s="1296"/>
      <c r="O86" s="1296"/>
      <c r="P86" s="1296"/>
      <c r="Q86" s="1298"/>
      <c r="R86" s="1293" t="str">
        <f>A86</f>
        <v>Date:</v>
      </c>
      <c r="S86" s="1294"/>
      <c r="T86" s="1294"/>
      <c r="U86" s="1294"/>
      <c r="V86" s="1294"/>
      <c r="W86" s="1295"/>
      <c r="X86" s="1296"/>
      <c r="Y86" s="1296"/>
      <c r="Z86" s="1296"/>
      <c r="AA86" s="1297" t="str">
        <f>Content!N114</f>
        <v>Signature:</v>
      </c>
      <c r="AB86" s="1297"/>
      <c r="AC86" s="1297"/>
      <c r="AD86" s="1297"/>
      <c r="AE86" s="1297"/>
      <c r="AF86" s="1303"/>
      <c r="AG86" s="1303"/>
      <c r="AH86" s="1303"/>
      <c r="AI86" s="1303"/>
      <c r="AJ86" s="1303"/>
      <c r="AK86" s="1303"/>
      <c r="AL86" s="1303"/>
      <c r="AM86" s="1303"/>
      <c r="AN86" s="1304"/>
      <c r="AO86" s="113"/>
      <c r="AP86" s="113"/>
      <c r="AQ86" s="113"/>
      <c r="AR86" s="113"/>
      <c r="AS86" s="113"/>
      <c r="AT86" s="113"/>
      <c r="AU86" s="113"/>
      <c r="AV86" s="113"/>
      <c r="AW86" s="113"/>
      <c r="AX86" s="113"/>
      <c r="AY86" s="113"/>
      <c r="AZ86" s="113"/>
      <c r="BA86" s="113"/>
      <c r="BB86" s="113"/>
      <c r="BC86" s="113"/>
      <c r="BD86" s="113"/>
      <c r="BE86" s="113"/>
      <c r="BF86" s="113"/>
      <c r="BG86" s="113"/>
      <c r="BH86" s="113"/>
      <c r="BI86" s="113"/>
      <c r="BJ86" s="113"/>
      <c r="BK86" s="113"/>
      <c r="BL86" s="113"/>
      <c r="BM86" s="113"/>
      <c r="BN86" s="113"/>
      <c r="BO86" s="113"/>
      <c r="BP86" s="113"/>
      <c r="BQ86" s="113"/>
      <c r="BR86" s="113"/>
    </row>
    <row r="87" spans="1:70">
      <c r="A87" s="113"/>
      <c r="B87" s="113"/>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3"/>
      <c r="AL87" s="113"/>
      <c r="AM87" s="113"/>
      <c r="AN87" s="113"/>
      <c r="AO87" s="113"/>
      <c r="AP87" s="113"/>
      <c r="AQ87" s="113"/>
      <c r="AR87" s="113"/>
      <c r="AS87" s="113"/>
      <c r="AT87" s="113"/>
      <c r="AU87" s="113"/>
      <c r="AV87" s="113"/>
      <c r="AW87" s="113"/>
      <c r="AX87" s="113"/>
      <c r="AY87" s="113"/>
      <c r="AZ87" s="113"/>
      <c r="BA87" s="113"/>
      <c r="BB87" s="113"/>
      <c r="BC87" s="113"/>
      <c r="BD87" s="113"/>
      <c r="BE87" s="113"/>
      <c r="BF87" s="113"/>
      <c r="BG87" s="113"/>
      <c r="BH87" s="113"/>
      <c r="BI87" s="113"/>
      <c r="BJ87" s="113"/>
      <c r="BK87" s="113"/>
      <c r="BL87" s="113"/>
      <c r="BM87" s="113"/>
      <c r="BN87" s="113"/>
      <c r="BO87" s="113"/>
      <c r="BP87" s="113"/>
      <c r="BQ87" s="113"/>
      <c r="BR87" s="113"/>
    </row>
    <row r="88" spans="1:70">
      <c r="A88" s="114"/>
      <c r="B88" s="114"/>
      <c r="C88" s="114"/>
      <c r="D88" s="114"/>
      <c r="E88" s="114"/>
      <c r="F88" s="114"/>
      <c r="G88" s="114"/>
      <c r="H88" s="114"/>
      <c r="I88" s="114"/>
      <c r="J88" s="114"/>
      <c r="K88" s="115"/>
      <c r="L88" s="115"/>
      <c r="M88" s="115"/>
      <c r="N88" s="115"/>
      <c r="O88" s="115"/>
      <c r="P88" s="115"/>
      <c r="Q88" s="114"/>
      <c r="R88" s="114"/>
      <c r="S88" s="114"/>
      <c r="T88" s="114"/>
      <c r="U88" s="114"/>
      <c r="V88" s="114"/>
      <c r="W88" s="114"/>
      <c r="X88" s="114"/>
      <c r="Y88" s="113"/>
      <c r="Z88" s="113"/>
      <c r="AA88" s="113"/>
      <c r="AB88" s="113"/>
      <c r="AC88" s="113"/>
      <c r="AD88" s="113"/>
      <c r="AE88" s="113"/>
      <c r="AF88" s="113"/>
      <c r="AG88" s="113"/>
      <c r="AH88" s="113"/>
      <c r="AI88" s="113"/>
      <c r="AJ88" s="113"/>
      <c r="AK88" s="113"/>
      <c r="AL88" s="113"/>
      <c r="AM88" s="113"/>
      <c r="AN88" s="113"/>
      <c r="AO88" s="113"/>
      <c r="AP88" s="113"/>
      <c r="AQ88" s="113"/>
      <c r="AR88" s="113"/>
      <c r="AS88" s="113"/>
      <c r="AT88" s="113"/>
      <c r="AU88" s="113"/>
      <c r="AV88" s="113"/>
      <c r="AW88" s="113"/>
      <c r="AX88" s="113"/>
      <c r="AY88" s="113"/>
      <c r="AZ88" s="113"/>
      <c r="BA88" s="113"/>
      <c r="BB88" s="113"/>
      <c r="BC88" s="113"/>
      <c r="BD88" s="113"/>
      <c r="BE88" s="113"/>
      <c r="BF88" s="113"/>
      <c r="BG88" s="113"/>
      <c r="BH88" s="113"/>
      <c r="BI88" s="113"/>
      <c r="BJ88" s="113"/>
      <c r="BK88" s="113"/>
      <c r="BL88" s="113"/>
      <c r="BM88" s="113"/>
      <c r="BN88" s="113"/>
      <c r="BO88" s="113"/>
      <c r="BP88" s="113"/>
      <c r="BQ88" s="113"/>
      <c r="BR88" s="113"/>
    </row>
    <row r="89" spans="1:70">
      <c r="A89" s="116"/>
      <c r="B89" s="116"/>
      <c r="C89" s="116"/>
      <c r="D89" s="116"/>
      <c r="E89" s="117"/>
      <c r="F89" s="117"/>
      <c r="G89" s="117"/>
      <c r="H89" s="117"/>
      <c r="I89" s="117"/>
      <c r="J89" s="117"/>
      <c r="K89" s="116"/>
      <c r="L89" s="116"/>
      <c r="M89" s="116"/>
      <c r="N89" s="116"/>
      <c r="O89" s="116"/>
      <c r="P89" s="116"/>
      <c r="Q89" s="116"/>
      <c r="R89" s="116"/>
      <c r="S89" s="116"/>
      <c r="T89" s="116"/>
      <c r="U89" s="118"/>
      <c r="V89" s="116"/>
      <c r="W89" s="116"/>
      <c r="X89" s="116"/>
      <c r="Y89" s="113"/>
      <c r="Z89" s="113"/>
      <c r="AA89" s="113"/>
      <c r="AB89" s="113"/>
      <c r="AC89" s="113"/>
      <c r="AD89" s="113"/>
      <c r="AE89" s="113"/>
      <c r="AF89" s="113"/>
      <c r="AG89" s="113"/>
      <c r="AH89" s="113"/>
      <c r="AI89" s="113"/>
      <c r="AJ89" s="113"/>
      <c r="AK89" s="113"/>
      <c r="AL89" s="113"/>
      <c r="AM89" s="113"/>
      <c r="AN89" s="113"/>
      <c r="AO89" s="113"/>
      <c r="AP89" s="113"/>
      <c r="AQ89" s="113"/>
      <c r="AR89" s="113"/>
      <c r="AS89" s="113"/>
      <c r="AT89" s="113"/>
      <c r="AU89" s="113"/>
      <c r="AV89" s="113"/>
      <c r="AW89" s="113"/>
      <c r="AX89" s="113"/>
      <c r="AY89" s="113"/>
      <c r="AZ89" s="113"/>
      <c r="BA89" s="113"/>
      <c r="BB89" s="113"/>
      <c r="BC89" s="113"/>
      <c r="BD89" s="113"/>
      <c r="BE89" s="113"/>
      <c r="BF89" s="113"/>
      <c r="BG89" s="113"/>
      <c r="BH89" s="113"/>
      <c r="BI89" s="113"/>
      <c r="BJ89" s="113"/>
      <c r="BK89" s="113"/>
      <c r="BL89" s="113"/>
      <c r="BM89" s="113"/>
      <c r="BN89" s="113"/>
      <c r="BO89" s="113"/>
      <c r="BP89" s="113"/>
      <c r="BQ89" s="113"/>
      <c r="BR89" s="113"/>
    </row>
    <row r="90" spans="1:70">
      <c r="A90" s="76"/>
      <c r="B90" s="76"/>
      <c r="C90" s="76"/>
      <c r="D90" s="76"/>
      <c r="E90" s="76"/>
      <c r="F90" s="76"/>
      <c r="G90" s="76"/>
      <c r="H90" s="76"/>
      <c r="I90" s="76"/>
      <c r="J90" s="76"/>
      <c r="K90" s="76"/>
      <c r="L90" s="76"/>
      <c r="M90" s="76"/>
      <c r="N90" s="76"/>
      <c r="O90" s="76"/>
      <c r="P90" s="76"/>
      <c r="Q90" s="76"/>
      <c r="R90" s="76"/>
      <c r="S90" s="76"/>
      <c r="T90" s="76"/>
      <c r="U90" s="75"/>
      <c r="V90" s="76"/>
      <c r="W90" s="76"/>
      <c r="X90" s="76"/>
      <c r="Y90" s="113"/>
      <c r="Z90" s="113"/>
      <c r="AA90" s="113"/>
      <c r="AB90" s="113"/>
      <c r="AC90" s="113"/>
      <c r="AD90" s="113"/>
      <c r="AE90" s="113"/>
      <c r="AF90" s="113"/>
      <c r="AG90" s="113"/>
      <c r="AH90" s="113"/>
      <c r="AI90" s="113"/>
      <c r="AJ90" s="113"/>
      <c r="AK90" s="113"/>
      <c r="AL90" s="113"/>
      <c r="AM90" s="113"/>
      <c r="AN90" s="113"/>
      <c r="AO90" s="113"/>
      <c r="AP90" s="113"/>
      <c r="AQ90" s="113"/>
      <c r="AR90" s="113"/>
      <c r="AS90" s="113"/>
      <c r="AT90" s="113"/>
      <c r="AU90" s="113"/>
      <c r="AV90" s="113"/>
      <c r="AW90" s="113"/>
      <c r="AX90" s="113"/>
      <c r="AY90" s="113"/>
      <c r="AZ90" s="113"/>
      <c r="BA90" s="113"/>
      <c r="BB90" s="113"/>
      <c r="BC90" s="113"/>
      <c r="BD90" s="113"/>
      <c r="BE90" s="113"/>
      <c r="BF90" s="113"/>
      <c r="BG90" s="113"/>
      <c r="BH90" s="113"/>
      <c r="BI90" s="113"/>
      <c r="BJ90" s="113"/>
      <c r="BK90" s="113"/>
      <c r="BL90" s="113"/>
      <c r="BM90" s="113"/>
      <c r="BN90" s="113"/>
      <c r="BO90" s="113"/>
      <c r="BP90" s="113"/>
      <c r="BQ90" s="113"/>
      <c r="BR90" s="113"/>
    </row>
    <row r="91" spans="1:70">
      <c r="A91" s="76"/>
      <c r="B91" s="76"/>
      <c r="C91" s="76"/>
      <c r="D91" s="76"/>
      <c r="E91" s="76"/>
      <c r="F91" s="76"/>
      <c r="G91" s="76"/>
      <c r="H91" s="76"/>
      <c r="I91" s="76"/>
      <c r="J91" s="76"/>
      <c r="K91" s="76"/>
      <c r="L91" s="76"/>
      <c r="M91" s="76"/>
      <c r="N91" s="76"/>
      <c r="O91" s="76"/>
      <c r="P91" s="76"/>
      <c r="Q91" s="76"/>
      <c r="R91" s="76"/>
      <c r="S91" s="76"/>
      <c r="T91" s="76"/>
      <c r="U91" s="75"/>
      <c r="V91" s="76"/>
      <c r="W91" s="76"/>
      <c r="X91" s="76"/>
      <c r="Y91" s="113"/>
      <c r="Z91" s="113"/>
      <c r="AA91" s="113"/>
      <c r="AB91" s="113"/>
      <c r="AC91" s="113"/>
      <c r="AD91" s="113"/>
      <c r="AE91" s="113"/>
      <c r="AF91" s="113"/>
      <c r="AG91" s="113"/>
      <c r="AH91" s="113"/>
      <c r="AI91" s="113"/>
      <c r="AJ91" s="113"/>
      <c r="AK91" s="113"/>
      <c r="AL91" s="113"/>
      <c r="AM91" s="113"/>
      <c r="AN91" s="113"/>
      <c r="AO91" s="113"/>
      <c r="AP91" s="113"/>
      <c r="AQ91" s="113"/>
      <c r="AR91" s="113"/>
      <c r="AS91" s="113"/>
      <c r="AT91" s="113"/>
      <c r="AU91" s="113"/>
      <c r="AV91" s="113"/>
      <c r="AW91" s="113"/>
      <c r="AX91" s="113"/>
      <c r="AY91" s="113"/>
      <c r="AZ91" s="113"/>
      <c r="BA91" s="113"/>
      <c r="BB91" s="113"/>
      <c r="BC91" s="113"/>
      <c r="BD91" s="113"/>
      <c r="BE91" s="113"/>
      <c r="BF91" s="113"/>
      <c r="BG91" s="113"/>
      <c r="BH91" s="113"/>
      <c r="BI91" s="113"/>
      <c r="BJ91" s="113"/>
      <c r="BK91" s="113"/>
      <c r="BL91" s="113"/>
      <c r="BM91" s="113"/>
      <c r="BN91" s="113"/>
      <c r="BO91" s="113"/>
      <c r="BP91" s="113"/>
      <c r="BQ91" s="113"/>
      <c r="BR91" s="113"/>
    </row>
    <row r="92" spans="1:70">
      <c r="A92" s="76"/>
      <c r="B92" s="76"/>
      <c r="C92" s="76"/>
      <c r="D92" s="76"/>
      <c r="E92" s="76"/>
      <c r="F92" s="76"/>
      <c r="G92" s="76"/>
      <c r="H92" s="76"/>
      <c r="I92" s="76"/>
      <c r="J92" s="76"/>
      <c r="K92" s="76"/>
      <c r="L92" s="76"/>
      <c r="M92" s="76"/>
      <c r="N92" s="76"/>
      <c r="O92" s="76"/>
      <c r="P92" s="76"/>
      <c r="Q92" s="76"/>
      <c r="R92" s="76"/>
      <c r="S92" s="76"/>
      <c r="T92" s="76"/>
      <c r="U92" s="75"/>
      <c r="V92" s="76"/>
      <c r="W92" s="76"/>
      <c r="X92" s="76"/>
      <c r="Y92" s="113"/>
      <c r="Z92" s="113"/>
      <c r="AA92" s="113"/>
      <c r="AB92" s="113"/>
      <c r="AC92" s="113"/>
      <c r="AD92" s="113"/>
      <c r="AE92" s="113"/>
      <c r="AF92" s="113"/>
      <c r="AG92" s="113"/>
      <c r="AH92" s="113"/>
      <c r="AI92" s="113"/>
      <c r="AJ92" s="113"/>
      <c r="AK92" s="113"/>
      <c r="AL92" s="113"/>
      <c r="AM92" s="113"/>
      <c r="AN92" s="113"/>
      <c r="AO92" s="113"/>
      <c r="AP92" s="113"/>
      <c r="AQ92" s="113"/>
      <c r="AR92" s="113"/>
      <c r="AS92" s="113"/>
      <c r="AT92" s="113"/>
      <c r="AU92" s="113"/>
      <c r="AV92" s="113"/>
      <c r="AW92" s="113"/>
      <c r="AX92" s="113"/>
      <c r="AY92" s="113"/>
      <c r="AZ92" s="113"/>
      <c r="BA92" s="113"/>
      <c r="BB92" s="113"/>
      <c r="BC92" s="113"/>
      <c r="BD92" s="113"/>
      <c r="BE92" s="113"/>
      <c r="BF92" s="113"/>
      <c r="BG92" s="113"/>
      <c r="BH92" s="113"/>
      <c r="BI92" s="113"/>
      <c r="BJ92" s="113"/>
      <c r="BK92" s="113"/>
      <c r="BL92" s="113"/>
      <c r="BM92" s="113"/>
      <c r="BN92" s="113"/>
      <c r="BO92" s="113"/>
      <c r="BP92" s="113"/>
      <c r="BQ92" s="113"/>
      <c r="BR92" s="113"/>
    </row>
    <row r="93" spans="1:70">
      <c r="A93" s="76"/>
      <c r="B93" s="76"/>
      <c r="C93" s="76"/>
      <c r="D93" s="76"/>
      <c r="E93" s="76"/>
      <c r="F93" s="76"/>
      <c r="G93" s="76"/>
      <c r="H93" s="76"/>
      <c r="I93" s="76"/>
      <c r="J93" s="76"/>
      <c r="K93" s="76"/>
      <c r="L93" s="76"/>
      <c r="M93" s="76"/>
      <c r="N93" s="76"/>
      <c r="O93" s="76"/>
      <c r="P93" s="76"/>
      <c r="Q93" s="76"/>
      <c r="R93" s="76"/>
      <c r="S93" s="76"/>
      <c r="T93" s="76"/>
      <c r="U93" s="75"/>
      <c r="V93" s="76"/>
      <c r="W93" s="76"/>
      <c r="X93" s="76"/>
      <c r="Y93" s="113"/>
      <c r="Z93" s="113"/>
      <c r="AA93" s="113"/>
      <c r="AB93" s="113"/>
      <c r="AC93" s="113"/>
      <c r="AD93" s="113"/>
      <c r="AE93" s="113"/>
      <c r="AF93" s="113"/>
      <c r="AG93" s="113"/>
      <c r="AH93" s="113"/>
      <c r="AI93" s="113"/>
      <c r="AJ93" s="113"/>
      <c r="AK93" s="113"/>
      <c r="AL93" s="113"/>
      <c r="AM93" s="113"/>
      <c r="AN93" s="113"/>
      <c r="AO93" s="113"/>
      <c r="AP93" s="113"/>
      <c r="AQ93" s="113"/>
      <c r="AR93" s="113"/>
      <c r="AS93" s="113"/>
      <c r="AT93" s="113"/>
      <c r="AU93" s="113"/>
      <c r="AV93" s="113"/>
      <c r="AW93" s="113"/>
      <c r="AX93" s="113"/>
      <c r="AY93" s="113"/>
      <c r="AZ93" s="113"/>
      <c r="BA93" s="113"/>
      <c r="BB93" s="113"/>
      <c r="BC93" s="113"/>
      <c r="BD93" s="113"/>
      <c r="BE93" s="113"/>
      <c r="BF93" s="113"/>
      <c r="BG93" s="113"/>
      <c r="BH93" s="113"/>
      <c r="BI93" s="113"/>
      <c r="BJ93" s="113"/>
      <c r="BK93" s="113"/>
      <c r="BL93" s="113"/>
      <c r="BM93" s="113"/>
      <c r="BN93" s="113"/>
      <c r="BO93" s="113"/>
      <c r="BP93" s="113"/>
      <c r="BQ93" s="113"/>
      <c r="BR93" s="113"/>
    </row>
    <row r="94" spans="1:70">
      <c r="A94" s="76"/>
      <c r="B94" s="76"/>
      <c r="C94" s="76"/>
      <c r="D94" s="76"/>
      <c r="E94" s="76"/>
      <c r="F94" s="76"/>
      <c r="G94" s="76"/>
      <c r="H94" s="76"/>
      <c r="I94" s="76"/>
      <c r="J94" s="76"/>
      <c r="K94" s="76"/>
      <c r="L94" s="76"/>
      <c r="M94" s="76"/>
      <c r="N94" s="76"/>
      <c r="O94" s="76"/>
      <c r="P94" s="76"/>
      <c r="Q94" s="76"/>
      <c r="R94" s="76"/>
      <c r="S94" s="76"/>
      <c r="T94" s="76"/>
      <c r="U94" s="75"/>
      <c r="V94" s="76"/>
      <c r="W94" s="76"/>
      <c r="X94" s="76"/>
      <c r="Y94" s="113"/>
      <c r="Z94" s="113"/>
      <c r="AA94" s="113"/>
      <c r="AB94" s="113"/>
      <c r="AC94" s="113"/>
      <c r="AD94" s="113"/>
      <c r="AE94" s="113"/>
      <c r="AF94" s="113"/>
      <c r="AG94" s="113"/>
      <c r="AH94" s="113"/>
      <c r="AI94" s="113"/>
      <c r="AJ94" s="113"/>
      <c r="AK94" s="113"/>
      <c r="AL94" s="113"/>
      <c r="AM94" s="113"/>
      <c r="AN94" s="113"/>
      <c r="AO94" s="113"/>
      <c r="AP94" s="113"/>
      <c r="AQ94" s="113"/>
      <c r="AR94" s="113"/>
      <c r="AS94" s="113"/>
      <c r="AT94" s="113"/>
      <c r="AU94" s="113"/>
      <c r="AV94" s="113"/>
      <c r="AW94" s="113"/>
      <c r="AX94" s="113"/>
      <c r="AY94" s="113"/>
      <c r="AZ94" s="113"/>
      <c r="BA94" s="113"/>
      <c r="BB94" s="113"/>
      <c r="BC94" s="113"/>
      <c r="BD94" s="113"/>
      <c r="BE94" s="113"/>
      <c r="BF94" s="113"/>
      <c r="BG94" s="113"/>
      <c r="BH94" s="113"/>
      <c r="BI94" s="113"/>
      <c r="BJ94" s="113"/>
      <c r="BK94" s="113"/>
      <c r="BL94" s="113"/>
      <c r="BM94" s="113"/>
      <c r="BN94" s="113"/>
      <c r="BO94" s="113"/>
      <c r="BP94" s="113"/>
      <c r="BQ94" s="113"/>
      <c r="BR94" s="113"/>
    </row>
    <row r="95" spans="1:70">
      <c r="A95" s="76"/>
      <c r="B95" s="76"/>
      <c r="C95" s="76"/>
      <c r="D95" s="76"/>
      <c r="E95" s="76"/>
      <c r="F95" s="76"/>
      <c r="G95" s="76"/>
      <c r="H95" s="76"/>
      <c r="I95" s="76"/>
      <c r="J95" s="76"/>
      <c r="K95" s="76"/>
      <c r="L95" s="76"/>
      <c r="M95" s="76"/>
      <c r="N95" s="76"/>
      <c r="O95" s="76"/>
      <c r="P95" s="76"/>
      <c r="Q95" s="76"/>
      <c r="R95" s="76"/>
      <c r="S95" s="76"/>
      <c r="T95" s="76"/>
      <c r="U95" s="75"/>
      <c r="V95" s="76"/>
      <c r="W95" s="76"/>
      <c r="X95" s="76"/>
      <c r="Y95" s="113"/>
      <c r="Z95" s="113"/>
      <c r="AA95" s="113"/>
      <c r="AB95" s="113"/>
      <c r="AC95" s="113"/>
      <c r="AD95" s="113"/>
      <c r="AE95" s="113"/>
      <c r="AF95" s="113"/>
      <c r="AG95" s="113"/>
      <c r="AH95" s="113"/>
      <c r="AI95" s="113"/>
      <c r="AJ95" s="113"/>
      <c r="AK95" s="113"/>
      <c r="AL95" s="113"/>
      <c r="AM95" s="113"/>
      <c r="AN95" s="113"/>
      <c r="AO95" s="113"/>
      <c r="AP95" s="113"/>
      <c r="AQ95" s="113"/>
      <c r="AR95" s="113"/>
      <c r="AS95" s="113"/>
      <c r="AT95" s="113"/>
      <c r="AU95" s="113"/>
      <c r="AV95" s="113"/>
      <c r="AW95" s="113"/>
      <c r="AX95" s="113"/>
      <c r="AY95" s="113"/>
      <c r="AZ95" s="113"/>
      <c r="BA95" s="113"/>
      <c r="BB95" s="113"/>
      <c r="BC95" s="113"/>
      <c r="BD95" s="113"/>
      <c r="BE95" s="113"/>
      <c r="BF95" s="113"/>
      <c r="BG95" s="113"/>
      <c r="BH95" s="113"/>
      <c r="BI95" s="113"/>
      <c r="BJ95" s="113"/>
      <c r="BK95" s="113"/>
      <c r="BL95" s="113"/>
      <c r="BM95" s="113"/>
      <c r="BN95" s="113"/>
      <c r="BO95" s="113"/>
      <c r="BP95" s="113"/>
      <c r="BQ95" s="113"/>
      <c r="BR95" s="113"/>
    </row>
    <row r="96" spans="1:70">
      <c r="A96" s="76"/>
      <c r="B96" s="76"/>
      <c r="C96" s="76"/>
      <c r="D96" s="76"/>
      <c r="E96" s="76"/>
      <c r="F96" s="76"/>
      <c r="G96" s="76"/>
      <c r="H96" s="76"/>
      <c r="I96" s="76"/>
      <c r="J96" s="76"/>
      <c r="K96" s="76"/>
      <c r="L96" s="76"/>
      <c r="M96" s="76"/>
      <c r="N96" s="76"/>
      <c r="O96" s="76"/>
      <c r="P96" s="76"/>
      <c r="Q96" s="76"/>
      <c r="R96" s="76"/>
      <c r="S96" s="76"/>
      <c r="T96" s="76"/>
      <c r="U96" s="75"/>
      <c r="V96" s="76"/>
      <c r="W96" s="76"/>
      <c r="X96" s="76"/>
      <c r="Y96" s="113"/>
      <c r="Z96" s="113"/>
      <c r="AA96" s="113"/>
      <c r="AB96" s="113"/>
      <c r="AC96" s="113"/>
      <c r="AD96" s="113"/>
      <c r="AE96" s="113"/>
      <c r="AF96" s="113"/>
      <c r="AG96" s="113"/>
      <c r="AH96" s="113"/>
      <c r="AI96" s="113"/>
      <c r="AJ96" s="113"/>
      <c r="AK96" s="113"/>
      <c r="AL96" s="113"/>
      <c r="AM96" s="113"/>
      <c r="AN96" s="113"/>
      <c r="AO96" s="113"/>
      <c r="AP96" s="113"/>
      <c r="AQ96" s="113"/>
      <c r="AR96" s="113"/>
      <c r="AS96" s="113"/>
      <c r="AT96" s="113"/>
      <c r="AU96" s="113"/>
      <c r="AV96" s="113"/>
      <c r="AW96" s="113"/>
      <c r="AX96" s="113"/>
      <c r="AY96" s="113"/>
      <c r="AZ96" s="113"/>
      <c r="BA96" s="113"/>
      <c r="BB96" s="113"/>
      <c r="BC96" s="113"/>
      <c r="BD96" s="113"/>
      <c r="BE96" s="113"/>
      <c r="BF96" s="113"/>
      <c r="BG96" s="113"/>
      <c r="BH96" s="113"/>
      <c r="BI96" s="113"/>
      <c r="BJ96" s="113"/>
      <c r="BK96" s="113"/>
      <c r="BL96" s="113"/>
      <c r="BM96" s="113"/>
      <c r="BN96" s="113"/>
      <c r="BO96" s="113"/>
      <c r="BP96" s="113"/>
      <c r="BQ96" s="113"/>
      <c r="BR96" s="113"/>
    </row>
    <row r="97" spans="1:70">
      <c r="A97" s="76"/>
      <c r="B97" s="76"/>
      <c r="C97" s="76"/>
      <c r="D97" s="76"/>
      <c r="E97" s="76"/>
      <c r="F97" s="76"/>
      <c r="G97" s="76"/>
      <c r="H97" s="76"/>
      <c r="I97" s="76"/>
      <c r="J97" s="76"/>
      <c r="K97" s="76"/>
      <c r="L97" s="76"/>
      <c r="M97" s="76"/>
      <c r="N97" s="76"/>
      <c r="O97" s="76"/>
      <c r="P97" s="76"/>
      <c r="Q97" s="76"/>
      <c r="R97" s="76"/>
      <c r="S97" s="76"/>
      <c r="T97" s="76"/>
      <c r="U97" s="75"/>
      <c r="V97" s="76"/>
      <c r="W97" s="76"/>
      <c r="X97" s="76"/>
      <c r="Y97" s="113"/>
      <c r="Z97" s="113"/>
      <c r="AA97" s="113"/>
      <c r="AB97" s="113"/>
      <c r="AC97" s="113"/>
      <c r="AD97" s="113"/>
      <c r="AE97" s="113"/>
      <c r="AF97" s="113"/>
      <c r="AG97" s="113"/>
      <c r="AH97" s="113"/>
      <c r="AI97" s="113"/>
      <c r="AJ97" s="113"/>
      <c r="AK97" s="113"/>
      <c r="AL97" s="113"/>
      <c r="AM97" s="113"/>
      <c r="AN97" s="113"/>
      <c r="AO97" s="113"/>
      <c r="AP97" s="113"/>
      <c r="AQ97" s="113"/>
      <c r="AR97" s="113"/>
      <c r="AS97" s="113"/>
      <c r="AT97" s="113"/>
      <c r="AU97" s="113"/>
      <c r="AV97" s="113"/>
      <c r="AW97" s="113"/>
      <c r="AX97" s="113"/>
      <c r="AY97" s="113"/>
      <c r="AZ97" s="113"/>
      <c r="BA97" s="113"/>
      <c r="BB97" s="113"/>
      <c r="BC97" s="113"/>
      <c r="BD97" s="113"/>
      <c r="BE97" s="113"/>
      <c r="BF97" s="113"/>
      <c r="BG97" s="113"/>
      <c r="BH97" s="113"/>
      <c r="BI97" s="113"/>
      <c r="BJ97" s="113"/>
      <c r="BK97" s="113"/>
      <c r="BL97" s="113"/>
      <c r="BM97" s="113"/>
      <c r="BN97" s="113"/>
      <c r="BO97" s="113"/>
      <c r="BP97" s="113"/>
      <c r="BQ97" s="113"/>
      <c r="BR97" s="113"/>
    </row>
    <row r="98" spans="1:70">
      <c r="A98" s="76"/>
      <c r="B98" s="76"/>
      <c r="C98" s="76"/>
      <c r="D98" s="76"/>
      <c r="E98" s="76"/>
      <c r="F98" s="76"/>
      <c r="G98" s="76"/>
      <c r="H98" s="76"/>
      <c r="I98" s="76"/>
      <c r="J98" s="76"/>
      <c r="K98" s="76"/>
      <c r="L98" s="76"/>
      <c r="M98" s="76"/>
      <c r="N98" s="76"/>
      <c r="O98" s="76"/>
      <c r="P98" s="76"/>
      <c r="Q98" s="76"/>
      <c r="R98" s="76"/>
      <c r="S98" s="76"/>
      <c r="T98" s="76"/>
      <c r="U98" s="75"/>
      <c r="V98" s="76"/>
      <c r="W98" s="76"/>
      <c r="X98" s="76"/>
      <c r="Y98" s="113"/>
      <c r="Z98" s="113"/>
      <c r="AA98" s="113"/>
      <c r="AB98" s="113"/>
      <c r="AC98" s="113"/>
      <c r="AD98" s="113"/>
      <c r="AE98" s="113"/>
      <c r="AF98" s="113"/>
      <c r="AG98" s="113"/>
      <c r="AH98" s="113"/>
      <c r="AI98" s="113"/>
      <c r="AJ98" s="113"/>
      <c r="AK98" s="113"/>
      <c r="AL98" s="113"/>
      <c r="AM98" s="113"/>
      <c r="AN98" s="113"/>
      <c r="AO98" s="113"/>
      <c r="AP98" s="113"/>
      <c r="AQ98" s="113"/>
      <c r="AR98" s="113"/>
      <c r="AS98" s="113"/>
      <c r="AT98" s="113"/>
      <c r="AU98" s="113"/>
      <c r="AV98" s="113"/>
      <c r="AW98" s="113"/>
      <c r="AX98" s="113"/>
      <c r="AY98" s="113"/>
      <c r="AZ98" s="113"/>
      <c r="BA98" s="113"/>
      <c r="BB98" s="113"/>
      <c r="BC98" s="113"/>
      <c r="BD98" s="113"/>
      <c r="BE98" s="113"/>
      <c r="BF98" s="113"/>
      <c r="BG98" s="113"/>
      <c r="BH98" s="113"/>
      <c r="BI98" s="113"/>
      <c r="BJ98" s="113"/>
      <c r="BK98" s="113"/>
      <c r="BL98" s="113"/>
      <c r="BM98" s="113"/>
      <c r="BN98" s="113"/>
      <c r="BO98" s="113"/>
      <c r="BP98" s="113"/>
      <c r="BQ98" s="113"/>
      <c r="BR98" s="113"/>
    </row>
    <row r="99" spans="1:70">
      <c r="A99" s="76"/>
      <c r="B99" s="76"/>
      <c r="C99" s="76"/>
      <c r="D99" s="76"/>
      <c r="E99" s="76"/>
      <c r="F99" s="76"/>
      <c r="G99" s="76"/>
      <c r="H99" s="76"/>
      <c r="I99" s="76"/>
      <c r="J99" s="76"/>
      <c r="K99" s="76"/>
      <c r="L99" s="76"/>
      <c r="M99" s="76"/>
      <c r="N99" s="76"/>
      <c r="O99" s="76"/>
      <c r="P99" s="76"/>
      <c r="Q99" s="76"/>
      <c r="R99" s="76"/>
      <c r="S99" s="76"/>
      <c r="T99" s="76"/>
      <c r="U99" s="75"/>
      <c r="V99" s="76"/>
      <c r="W99" s="76"/>
      <c r="X99" s="76"/>
      <c r="Y99" s="113"/>
      <c r="Z99" s="113"/>
      <c r="AA99" s="113"/>
      <c r="AB99" s="113"/>
      <c r="AC99" s="113"/>
      <c r="AD99" s="113"/>
      <c r="AE99" s="113"/>
      <c r="AF99" s="113"/>
      <c r="AG99" s="113"/>
      <c r="AH99" s="113"/>
      <c r="AI99" s="113"/>
      <c r="AJ99" s="113"/>
      <c r="AK99" s="113"/>
      <c r="AL99" s="113"/>
      <c r="AM99" s="113"/>
      <c r="AN99" s="113"/>
      <c r="AO99" s="113"/>
      <c r="AP99" s="113"/>
      <c r="AQ99" s="113"/>
      <c r="AR99" s="113"/>
      <c r="AS99" s="113"/>
      <c r="AT99" s="113"/>
      <c r="AU99" s="113"/>
      <c r="AV99" s="113"/>
      <c r="AW99" s="113"/>
      <c r="AX99" s="113"/>
      <c r="AY99" s="113"/>
      <c r="AZ99" s="113"/>
      <c r="BA99" s="113"/>
      <c r="BB99" s="113"/>
      <c r="BC99" s="113"/>
      <c r="BD99" s="113"/>
      <c r="BE99" s="113"/>
      <c r="BF99" s="113"/>
      <c r="BG99" s="113"/>
      <c r="BH99" s="113"/>
      <c r="BI99" s="113"/>
      <c r="BJ99" s="113"/>
      <c r="BK99" s="113"/>
      <c r="BL99" s="113"/>
      <c r="BM99" s="113"/>
      <c r="BN99" s="113"/>
      <c r="BO99" s="113"/>
      <c r="BP99" s="113"/>
      <c r="BQ99" s="113"/>
      <c r="BR99" s="113"/>
    </row>
    <row r="100" spans="1:70">
      <c r="A100" s="76"/>
      <c r="B100" s="76"/>
      <c r="C100" s="76"/>
      <c r="D100" s="76"/>
      <c r="E100" s="76"/>
      <c r="F100" s="76"/>
      <c r="G100" s="76"/>
      <c r="H100" s="76"/>
      <c r="I100" s="76"/>
      <c r="J100" s="76"/>
      <c r="K100" s="76"/>
      <c r="L100" s="76"/>
      <c r="M100" s="76"/>
      <c r="N100" s="76"/>
      <c r="O100" s="76"/>
      <c r="P100" s="76"/>
      <c r="Q100" s="76"/>
      <c r="R100" s="76"/>
      <c r="S100" s="76"/>
      <c r="T100" s="76"/>
      <c r="U100" s="75"/>
      <c r="V100" s="76"/>
      <c r="W100" s="76"/>
      <c r="X100" s="76"/>
      <c r="Y100" s="113"/>
      <c r="Z100" s="113"/>
      <c r="AA100" s="113"/>
      <c r="AB100" s="113"/>
      <c r="AC100" s="113"/>
      <c r="AD100" s="113"/>
      <c r="AE100" s="113"/>
      <c r="AF100" s="113"/>
      <c r="AG100" s="113"/>
      <c r="AH100" s="113"/>
      <c r="AI100" s="113"/>
      <c r="AJ100" s="113"/>
      <c r="AK100" s="113"/>
      <c r="AL100" s="113"/>
      <c r="AM100" s="113"/>
      <c r="AN100" s="113"/>
      <c r="AO100" s="113"/>
      <c r="AP100" s="113"/>
      <c r="AQ100" s="113"/>
      <c r="AR100" s="113"/>
      <c r="AS100" s="113"/>
      <c r="AT100" s="113"/>
      <c r="AU100" s="113"/>
      <c r="AV100" s="113"/>
      <c r="AW100" s="113"/>
      <c r="AX100" s="113"/>
      <c r="AY100" s="113"/>
      <c r="AZ100" s="113"/>
      <c r="BA100" s="113"/>
      <c r="BB100" s="113"/>
      <c r="BC100" s="113"/>
      <c r="BD100" s="113"/>
      <c r="BE100" s="113"/>
      <c r="BF100" s="113"/>
      <c r="BG100" s="113"/>
      <c r="BH100" s="113"/>
      <c r="BI100" s="113"/>
      <c r="BJ100" s="113"/>
      <c r="BK100" s="113"/>
      <c r="BL100" s="113"/>
      <c r="BM100" s="113"/>
      <c r="BN100" s="113"/>
      <c r="BO100" s="113"/>
      <c r="BP100" s="113"/>
      <c r="BQ100" s="113"/>
      <c r="BR100" s="113"/>
    </row>
    <row r="101" spans="1:70">
      <c r="A101" s="76"/>
      <c r="B101" s="76"/>
      <c r="C101" s="76"/>
      <c r="D101" s="76"/>
      <c r="E101" s="76"/>
      <c r="F101" s="76"/>
      <c r="G101" s="76"/>
      <c r="H101" s="76"/>
      <c r="I101" s="76"/>
      <c r="J101" s="76"/>
      <c r="K101" s="76"/>
      <c r="L101" s="76"/>
      <c r="M101" s="76"/>
      <c r="N101" s="76"/>
      <c r="O101" s="76"/>
      <c r="P101" s="76"/>
      <c r="Q101" s="76"/>
      <c r="R101" s="76"/>
      <c r="S101" s="76"/>
      <c r="T101" s="76"/>
      <c r="U101" s="75"/>
      <c r="V101" s="76"/>
      <c r="W101" s="76"/>
      <c r="X101" s="76"/>
      <c r="Y101" s="113"/>
      <c r="Z101" s="113"/>
      <c r="AA101" s="113"/>
      <c r="AB101" s="113"/>
      <c r="AC101" s="113"/>
      <c r="AD101" s="113"/>
      <c r="AE101" s="113"/>
      <c r="AF101" s="113"/>
      <c r="AG101" s="113"/>
      <c r="AH101" s="113"/>
      <c r="AI101" s="113"/>
      <c r="AJ101" s="113"/>
      <c r="AK101" s="113"/>
      <c r="AL101" s="113"/>
      <c r="AM101" s="113"/>
      <c r="AN101" s="113"/>
      <c r="AO101" s="113"/>
      <c r="AP101" s="113"/>
      <c r="AQ101" s="113"/>
      <c r="AR101" s="113"/>
      <c r="AS101" s="113"/>
      <c r="AT101" s="113"/>
      <c r="AU101" s="113"/>
      <c r="AV101" s="113"/>
      <c r="AW101" s="113"/>
      <c r="AX101" s="113"/>
      <c r="AY101" s="113"/>
      <c r="AZ101" s="113"/>
      <c r="BA101" s="113"/>
      <c r="BB101" s="113"/>
      <c r="BC101" s="113"/>
      <c r="BD101" s="113"/>
      <c r="BE101" s="113"/>
      <c r="BF101" s="113"/>
      <c r="BG101" s="113"/>
      <c r="BH101" s="113"/>
      <c r="BI101" s="113"/>
      <c r="BJ101" s="113"/>
      <c r="BK101" s="113"/>
      <c r="BL101" s="113"/>
      <c r="BM101" s="113"/>
      <c r="BN101" s="113"/>
      <c r="BO101" s="113"/>
      <c r="BP101" s="113"/>
      <c r="BQ101" s="113"/>
      <c r="BR101" s="113"/>
    </row>
    <row r="102" spans="1:70">
      <c r="A102" s="76"/>
      <c r="B102" s="76"/>
      <c r="C102" s="76"/>
      <c r="D102" s="76"/>
      <c r="E102" s="76"/>
      <c r="F102" s="76"/>
      <c r="G102" s="76"/>
      <c r="H102" s="76"/>
      <c r="I102" s="76"/>
      <c r="J102" s="76"/>
      <c r="K102" s="76"/>
      <c r="L102" s="76"/>
      <c r="M102" s="76"/>
      <c r="N102" s="76"/>
      <c r="O102" s="76"/>
      <c r="P102" s="76"/>
      <c r="Q102" s="76"/>
      <c r="R102" s="76"/>
      <c r="S102" s="76"/>
      <c r="T102" s="76"/>
      <c r="U102" s="75"/>
      <c r="V102" s="76"/>
      <c r="W102" s="76"/>
      <c r="X102" s="76"/>
      <c r="Y102" s="113"/>
      <c r="Z102" s="113"/>
      <c r="AA102" s="113"/>
      <c r="AB102" s="113"/>
      <c r="AC102" s="113"/>
      <c r="AD102" s="113"/>
      <c r="AE102" s="113"/>
      <c r="AF102" s="113"/>
      <c r="AG102" s="113"/>
      <c r="AH102" s="113"/>
      <c r="AI102" s="113"/>
      <c r="AJ102" s="113"/>
      <c r="AK102" s="113"/>
      <c r="AL102" s="113"/>
      <c r="AM102" s="113"/>
      <c r="AN102" s="113"/>
      <c r="AO102" s="113"/>
      <c r="AP102" s="113"/>
      <c r="AQ102" s="113"/>
      <c r="AR102" s="113"/>
      <c r="AS102" s="113"/>
      <c r="AT102" s="113"/>
      <c r="AU102" s="113"/>
      <c r="AV102" s="113"/>
      <c r="AW102" s="113"/>
      <c r="AX102" s="113"/>
      <c r="AY102" s="113"/>
      <c r="AZ102" s="113"/>
      <c r="BA102" s="113"/>
      <c r="BB102" s="113"/>
      <c r="BC102" s="113"/>
      <c r="BD102" s="113"/>
      <c r="BE102" s="113"/>
      <c r="BF102" s="113"/>
      <c r="BG102" s="113"/>
      <c r="BH102" s="113"/>
      <c r="BI102" s="113"/>
      <c r="BJ102" s="113"/>
      <c r="BK102" s="113"/>
      <c r="BL102" s="113"/>
      <c r="BM102" s="113"/>
      <c r="BN102" s="113"/>
      <c r="BO102" s="113"/>
      <c r="BP102" s="113"/>
      <c r="BQ102" s="113"/>
      <c r="BR102" s="113"/>
    </row>
    <row r="103" spans="1:70">
      <c r="A103" s="76"/>
      <c r="B103" s="76"/>
      <c r="C103" s="76"/>
      <c r="D103" s="76"/>
      <c r="E103" s="76"/>
      <c r="F103" s="76"/>
      <c r="G103" s="76"/>
      <c r="H103" s="76"/>
      <c r="I103" s="76"/>
      <c r="J103" s="76"/>
      <c r="K103" s="76"/>
      <c r="L103" s="76"/>
      <c r="M103" s="76"/>
      <c r="N103" s="76"/>
      <c r="O103" s="76"/>
      <c r="P103" s="76"/>
      <c r="Q103" s="76"/>
      <c r="R103" s="76"/>
      <c r="S103" s="76"/>
      <c r="T103" s="76"/>
      <c r="U103" s="75"/>
      <c r="V103" s="76"/>
      <c r="W103" s="76"/>
      <c r="X103" s="76"/>
      <c r="Y103" s="113"/>
      <c r="Z103" s="113"/>
      <c r="AA103" s="113"/>
      <c r="AB103" s="113"/>
      <c r="AC103" s="113"/>
      <c r="AD103" s="113"/>
      <c r="AE103" s="113"/>
      <c r="AF103" s="113"/>
      <c r="AG103" s="113"/>
      <c r="AH103" s="113"/>
      <c r="AI103" s="113"/>
      <c r="AJ103" s="113"/>
      <c r="AK103" s="113"/>
      <c r="AL103" s="113"/>
      <c r="AM103" s="113"/>
      <c r="AN103" s="113"/>
      <c r="AO103" s="113"/>
      <c r="AP103" s="113"/>
      <c r="AQ103" s="113"/>
      <c r="AR103" s="113"/>
      <c r="AS103" s="113"/>
      <c r="AT103" s="113"/>
      <c r="AU103" s="113"/>
      <c r="AV103" s="113"/>
      <c r="AW103" s="113"/>
      <c r="AX103" s="113"/>
      <c r="AY103" s="113"/>
      <c r="AZ103" s="113"/>
      <c r="BA103" s="113"/>
      <c r="BB103" s="113"/>
      <c r="BC103" s="113"/>
      <c r="BD103" s="113"/>
      <c r="BE103" s="113"/>
      <c r="BF103" s="113"/>
      <c r="BG103" s="113"/>
      <c r="BH103" s="113"/>
      <c r="BI103" s="113"/>
      <c r="BJ103" s="113"/>
      <c r="BK103" s="113"/>
      <c r="BL103" s="113"/>
      <c r="BM103" s="113"/>
      <c r="BN103" s="113"/>
      <c r="BO103" s="113"/>
      <c r="BP103" s="113"/>
      <c r="BQ103" s="113"/>
      <c r="BR103" s="113"/>
    </row>
    <row r="104" spans="1:70">
      <c r="A104" s="76"/>
      <c r="B104" s="76"/>
      <c r="C104" s="76"/>
      <c r="D104" s="76"/>
      <c r="E104" s="76"/>
      <c r="F104" s="76"/>
      <c r="G104" s="76"/>
      <c r="H104" s="76"/>
      <c r="I104" s="76"/>
      <c r="J104" s="76"/>
      <c r="K104" s="76"/>
      <c r="L104" s="76"/>
      <c r="M104" s="76"/>
      <c r="N104" s="76"/>
      <c r="O104" s="76"/>
      <c r="P104" s="76"/>
      <c r="Q104" s="76"/>
      <c r="R104" s="76"/>
      <c r="S104" s="76"/>
      <c r="T104" s="76"/>
      <c r="U104" s="75"/>
      <c r="V104" s="76"/>
      <c r="W104" s="76"/>
      <c r="X104" s="76"/>
      <c r="Y104" s="113"/>
      <c r="Z104" s="113"/>
      <c r="AA104" s="113"/>
      <c r="AB104" s="113"/>
      <c r="AC104" s="113"/>
      <c r="AD104" s="113"/>
      <c r="AE104" s="113"/>
      <c r="AF104" s="113"/>
      <c r="AG104" s="113"/>
      <c r="AH104" s="113"/>
      <c r="AI104" s="113"/>
      <c r="AJ104" s="113"/>
      <c r="AK104" s="113"/>
      <c r="AL104" s="113"/>
      <c r="AM104" s="113"/>
      <c r="AN104" s="113"/>
      <c r="AO104" s="113"/>
      <c r="AP104" s="113"/>
      <c r="AQ104" s="113"/>
      <c r="AR104" s="113"/>
      <c r="AS104" s="113"/>
      <c r="AT104" s="113"/>
      <c r="AU104" s="113"/>
      <c r="AV104" s="113"/>
      <c r="AW104" s="113"/>
      <c r="AX104" s="113"/>
      <c r="AY104" s="113"/>
      <c r="AZ104" s="113"/>
      <c r="BA104" s="113"/>
      <c r="BB104" s="113"/>
      <c r="BC104" s="113"/>
      <c r="BD104" s="113"/>
      <c r="BE104" s="113"/>
      <c r="BF104" s="113"/>
      <c r="BG104" s="113"/>
      <c r="BH104" s="113"/>
      <c r="BI104" s="113"/>
      <c r="BJ104" s="113"/>
      <c r="BK104" s="113"/>
      <c r="BL104" s="113"/>
      <c r="BM104" s="113"/>
      <c r="BN104" s="113"/>
      <c r="BO104" s="113"/>
      <c r="BP104" s="113"/>
      <c r="BQ104" s="113"/>
      <c r="BR104" s="113"/>
    </row>
    <row r="105" spans="1:70">
      <c r="A105" s="76"/>
      <c r="B105" s="76"/>
      <c r="C105" s="76"/>
      <c r="D105" s="76"/>
      <c r="E105" s="76"/>
      <c r="F105" s="76"/>
      <c r="G105" s="76"/>
      <c r="H105" s="76"/>
      <c r="I105" s="76"/>
      <c r="J105" s="76"/>
      <c r="K105" s="76"/>
      <c r="L105" s="76"/>
      <c r="M105" s="76"/>
      <c r="N105" s="76"/>
      <c r="O105" s="76"/>
      <c r="P105" s="76"/>
      <c r="Q105" s="76"/>
      <c r="R105" s="76"/>
      <c r="S105" s="76"/>
      <c r="T105" s="76"/>
      <c r="U105" s="75"/>
      <c r="V105" s="76"/>
      <c r="W105" s="76"/>
      <c r="X105" s="76"/>
      <c r="Y105" s="113"/>
      <c r="Z105" s="113"/>
      <c r="AA105" s="113"/>
      <c r="AB105" s="113"/>
      <c r="AC105" s="113"/>
      <c r="AD105" s="113"/>
      <c r="AE105" s="113"/>
      <c r="AF105" s="113"/>
      <c r="AG105" s="113"/>
      <c r="AH105" s="113"/>
      <c r="AI105" s="113"/>
      <c r="AJ105" s="113"/>
      <c r="AK105" s="113"/>
      <c r="AL105" s="113"/>
      <c r="AM105" s="113"/>
      <c r="AN105" s="113"/>
      <c r="AO105" s="113"/>
      <c r="AP105" s="113"/>
      <c r="AQ105" s="113"/>
      <c r="AR105" s="113"/>
      <c r="AS105" s="113"/>
      <c r="AT105" s="113"/>
      <c r="AU105" s="113"/>
      <c r="AV105" s="113"/>
      <c r="AW105" s="113"/>
      <c r="AX105" s="113"/>
      <c r="AY105" s="113"/>
      <c r="AZ105" s="113"/>
      <c r="BA105" s="113"/>
      <c r="BB105" s="113"/>
      <c r="BC105" s="113"/>
      <c r="BD105" s="113"/>
      <c r="BE105" s="113"/>
      <c r="BF105" s="113"/>
      <c r="BG105" s="113"/>
      <c r="BH105" s="113"/>
      <c r="BI105" s="113"/>
      <c r="BJ105" s="113"/>
      <c r="BK105" s="113"/>
      <c r="BL105" s="113"/>
      <c r="BM105" s="113"/>
      <c r="BN105" s="113"/>
      <c r="BO105" s="113"/>
      <c r="BP105" s="113"/>
      <c r="BQ105" s="113"/>
      <c r="BR105" s="113"/>
    </row>
    <row r="106" spans="1:70">
      <c r="A106" s="76"/>
      <c r="B106" s="76"/>
      <c r="C106" s="76"/>
      <c r="D106" s="76"/>
      <c r="E106" s="76"/>
      <c r="F106" s="76"/>
      <c r="G106" s="76"/>
      <c r="H106" s="76"/>
      <c r="I106" s="76"/>
      <c r="J106" s="76"/>
      <c r="K106" s="76"/>
      <c r="L106" s="76"/>
      <c r="M106" s="76"/>
      <c r="N106" s="76"/>
      <c r="O106" s="76"/>
      <c r="P106" s="76"/>
      <c r="Q106" s="76"/>
      <c r="R106" s="76"/>
      <c r="S106" s="76"/>
      <c r="T106" s="76"/>
      <c r="U106" s="75"/>
      <c r="V106" s="76"/>
      <c r="W106" s="76"/>
      <c r="X106" s="76"/>
      <c r="Y106" s="113"/>
      <c r="Z106" s="113"/>
      <c r="AA106" s="113"/>
      <c r="AB106" s="113"/>
      <c r="AC106" s="113"/>
      <c r="AD106" s="113"/>
      <c r="AE106" s="113"/>
      <c r="AF106" s="113"/>
      <c r="AG106" s="113"/>
      <c r="AH106" s="113"/>
      <c r="AI106" s="113"/>
      <c r="AJ106" s="113"/>
      <c r="AK106" s="113"/>
      <c r="AL106" s="113"/>
      <c r="AM106" s="113"/>
      <c r="AN106" s="113"/>
      <c r="AO106" s="113"/>
      <c r="AP106" s="113"/>
      <c r="AQ106" s="113"/>
      <c r="AR106" s="113"/>
      <c r="AS106" s="113"/>
      <c r="AT106" s="113"/>
      <c r="AU106" s="113"/>
      <c r="AV106" s="113"/>
      <c r="AW106" s="113"/>
      <c r="AX106" s="113"/>
      <c r="AY106" s="113"/>
      <c r="AZ106" s="113"/>
      <c r="BA106" s="113"/>
      <c r="BB106" s="113"/>
      <c r="BC106" s="113"/>
      <c r="BD106" s="113"/>
      <c r="BE106" s="113"/>
      <c r="BF106" s="113"/>
      <c r="BG106" s="113"/>
      <c r="BH106" s="113"/>
      <c r="BI106" s="113"/>
      <c r="BJ106" s="113"/>
      <c r="BK106" s="113"/>
      <c r="BL106" s="113"/>
      <c r="BM106" s="113"/>
      <c r="BN106" s="113"/>
      <c r="BO106" s="113"/>
      <c r="BP106" s="113"/>
      <c r="BQ106" s="113"/>
      <c r="BR106" s="113"/>
    </row>
    <row r="107" spans="1:70">
      <c r="A107" s="76"/>
      <c r="B107" s="76"/>
      <c r="C107" s="76"/>
      <c r="D107" s="76"/>
      <c r="E107" s="76"/>
      <c r="F107" s="76"/>
      <c r="G107" s="76"/>
      <c r="H107" s="76"/>
      <c r="I107" s="76"/>
      <c r="J107" s="76"/>
      <c r="K107" s="76"/>
      <c r="L107" s="76"/>
      <c r="M107" s="76"/>
      <c r="N107" s="76"/>
      <c r="O107" s="76"/>
      <c r="P107" s="76"/>
      <c r="Q107" s="76"/>
      <c r="R107" s="76"/>
      <c r="S107" s="76"/>
      <c r="T107" s="76"/>
      <c r="U107" s="75"/>
      <c r="V107" s="76"/>
      <c r="W107" s="76"/>
      <c r="X107" s="76"/>
      <c r="Y107" s="113"/>
      <c r="Z107" s="113"/>
      <c r="AA107" s="113"/>
      <c r="AB107" s="113"/>
      <c r="AC107" s="113"/>
      <c r="AD107" s="113"/>
      <c r="AE107" s="113"/>
      <c r="AF107" s="113"/>
      <c r="AG107" s="113"/>
      <c r="AH107" s="113"/>
      <c r="AI107" s="113"/>
      <c r="AJ107" s="113"/>
      <c r="AK107" s="113"/>
      <c r="AL107" s="113"/>
      <c r="AM107" s="113"/>
      <c r="AN107" s="113"/>
      <c r="AO107" s="113"/>
      <c r="AP107" s="113"/>
      <c r="AQ107" s="113"/>
      <c r="AR107" s="113"/>
      <c r="AS107" s="113"/>
      <c r="AT107" s="113"/>
      <c r="AU107" s="113"/>
      <c r="AV107" s="113"/>
      <c r="AW107" s="113"/>
      <c r="AX107" s="113"/>
      <c r="AY107" s="113"/>
      <c r="AZ107" s="113"/>
      <c r="BA107" s="113"/>
      <c r="BB107" s="113"/>
      <c r="BC107" s="113"/>
      <c r="BD107" s="113"/>
      <c r="BE107" s="113"/>
      <c r="BF107" s="113"/>
      <c r="BG107" s="113"/>
      <c r="BH107" s="113"/>
      <c r="BI107" s="113"/>
      <c r="BJ107" s="113"/>
      <c r="BK107" s="113"/>
      <c r="BL107" s="113"/>
      <c r="BM107" s="113"/>
      <c r="BN107" s="113"/>
      <c r="BO107" s="113"/>
      <c r="BP107" s="113"/>
      <c r="BQ107" s="113"/>
      <c r="BR107" s="113"/>
    </row>
    <row r="108" spans="1:70">
      <c r="A108" s="76"/>
      <c r="B108" s="76"/>
      <c r="C108" s="76"/>
      <c r="D108" s="76"/>
      <c r="E108" s="76"/>
      <c r="F108" s="76"/>
      <c r="G108" s="76"/>
      <c r="H108" s="76"/>
      <c r="I108" s="76"/>
      <c r="J108" s="76"/>
      <c r="K108" s="76"/>
      <c r="L108" s="76"/>
      <c r="M108" s="76"/>
      <c r="N108" s="76"/>
      <c r="O108" s="76"/>
      <c r="P108" s="76"/>
      <c r="Q108" s="76"/>
      <c r="R108" s="76"/>
      <c r="S108" s="76"/>
      <c r="T108" s="76"/>
      <c r="U108" s="75"/>
      <c r="V108" s="76"/>
      <c r="W108" s="76"/>
      <c r="X108" s="76"/>
      <c r="Y108" s="113"/>
      <c r="Z108" s="113"/>
      <c r="AA108" s="113"/>
      <c r="AB108" s="113"/>
      <c r="AC108" s="113"/>
      <c r="AD108" s="113"/>
      <c r="AE108" s="113"/>
      <c r="AF108" s="113"/>
      <c r="AG108" s="113"/>
      <c r="AH108" s="113"/>
      <c r="AI108" s="113"/>
      <c r="AJ108" s="113"/>
      <c r="AK108" s="113"/>
      <c r="AL108" s="113"/>
      <c r="AM108" s="113"/>
      <c r="AN108" s="113"/>
      <c r="AO108" s="113"/>
      <c r="AP108" s="113"/>
      <c r="AQ108" s="113"/>
      <c r="AR108" s="113"/>
      <c r="AS108" s="113"/>
      <c r="AT108" s="113"/>
      <c r="AU108" s="113"/>
      <c r="AV108" s="113"/>
      <c r="AW108" s="113"/>
      <c r="AX108" s="113"/>
      <c r="AY108" s="113"/>
      <c r="AZ108" s="113"/>
      <c r="BA108" s="113"/>
      <c r="BB108" s="113"/>
      <c r="BC108" s="113"/>
      <c r="BD108" s="113"/>
      <c r="BE108" s="113"/>
      <c r="BF108" s="113"/>
      <c r="BG108" s="113"/>
      <c r="BH108" s="113"/>
      <c r="BI108" s="113"/>
      <c r="BJ108" s="113"/>
      <c r="BK108" s="113"/>
      <c r="BL108" s="113"/>
      <c r="BM108" s="113"/>
      <c r="BN108" s="113"/>
      <c r="BO108" s="113"/>
      <c r="BP108" s="113"/>
      <c r="BQ108" s="113"/>
      <c r="BR108" s="113"/>
    </row>
    <row r="109" spans="1:70">
      <c r="A109" s="76"/>
      <c r="B109" s="76"/>
      <c r="C109" s="76"/>
      <c r="D109" s="76"/>
      <c r="E109" s="76"/>
      <c r="F109" s="76"/>
      <c r="G109" s="76"/>
      <c r="H109" s="76"/>
      <c r="I109" s="76"/>
      <c r="J109" s="76"/>
      <c r="K109" s="76"/>
      <c r="L109" s="76"/>
      <c r="M109" s="76"/>
      <c r="N109" s="76"/>
      <c r="O109" s="76"/>
      <c r="P109" s="76"/>
      <c r="Q109" s="76"/>
      <c r="R109" s="76"/>
      <c r="S109" s="76"/>
      <c r="T109" s="76"/>
      <c r="U109" s="75"/>
      <c r="V109" s="76"/>
      <c r="W109" s="76"/>
      <c r="X109" s="76"/>
      <c r="Y109" s="113"/>
      <c r="Z109" s="113"/>
      <c r="AA109" s="113"/>
      <c r="AB109" s="113"/>
      <c r="AC109" s="113"/>
      <c r="AD109" s="113"/>
      <c r="AE109" s="113"/>
      <c r="AF109" s="113"/>
      <c r="AG109" s="113"/>
      <c r="AH109" s="113"/>
      <c r="AI109" s="113"/>
      <c r="AJ109" s="113"/>
      <c r="AK109" s="113"/>
      <c r="AL109" s="113"/>
      <c r="AM109" s="113"/>
      <c r="AN109" s="113"/>
      <c r="AO109" s="113"/>
      <c r="AP109" s="113"/>
      <c r="AQ109" s="113"/>
      <c r="AR109" s="113"/>
      <c r="AS109" s="113"/>
      <c r="AT109" s="113"/>
      <c r="AU109" s="113"/>
      <c r="AV109" s="113"/>
      <c r="AW109" s="113"/>
      <c r="AX109" s="113"/>
      <c r="AY109" s="113"/>
      <c r="AZ109" s="113"/>
      <c r="BA109" s="113"/>
      <c r="BB109" s="113"/>
      <c r="BC109" s="113"/>
      <c r="BD109" s="113"/>
      <c r="BE109" s="113"/>
      <c r="BF109" s="113"/>
      <c r="BG109" s="113"/>
      <c r="BH109" s="113"/>
      <c r="BI109" s="113"/>
      <c r="BJ109" s="113"/>
      <c r="BK109" s="113"/>
      <c r="BL109" s="113"/>
      <c r="BM109" s="113"/>
      <c r="BN109" s="113"/>
      <c r="BO109" s="113"/>
      <c r="BP109" s="113"/>
      <c r="BQ109" s="113"/>
      <c r="BR109" s="113"/>
    </row>
    <row r="110" spans="1:70">
      <c r="A110" s="76"/>
      <c r="B110" s="76"/>
      <c r="C110" s="76"/>
      <c r="D110" s="76"/>
      <c r="E110" s="76"/>
      <c r="F110" s="76"/>
      <c r="G110" s="76"/>
      <c r="H110" s="76"/>
      <c r="I110" s="76"/>
      <c r="J110" s="76"/>
      <c r="K110" s="76"/>
      <c r="L110" s="76"/>
      <c r="M110" s="76"/>
      <c r="N110" s="76"/>
      <c r="O110" s="76"/>
      <c r="P110" s="76"/>
      <c r="Q110" s="76"/>
      <c r="R110" s="76"/>
      <c r="S110" s="76"/>
      <c r="T110" s="76"/>
      <c r="U110" s="75"/>
      <c r="V110" s="76"/>
      <c r="W110" s="76"/>
      <c r="X110" s="76"/>
      <c r="Y110" s="113"/>
      <c r="Z110" s="113"/>
      <c r="AA110" s="113"/>
      <c r="AB110" s="113"/>
      <c r="AC110" s="113"/>
      <c r="AD110" s="113"/>
      <c r="AE110" s="113"/>
      <c r="AF110" s="113"/>
      <c r="AG110" s="113"/>
      <c r="AH110" s="113"/>
      <c r="AI110" s="113"/>
      <c r="AJ110" s="113"/>
      <c r="AK110" s="113"/>
      <c r="AL110" s="113"/>
      <c r="AM110" s="113"/>
      <c r="AN110" s="113"/>
      <c r="AO110" s="113"/>
      <c r="AP110" s="113"/>
      <c r="AQ110" s="113"/>
      <c r="AR110" s="113"/>
      <c r="AS110" s="113"/>
      <c r="AT110" s="113"/>
      <c r="AU110" s="113"/>
      <c r="AV110" s="113"/>
      <c r="AW110" s="113"/>
      <c r="AX110" s="113"/>
      <c r="AY110" s="113"/>
      <c r="AZ110" s="113"/>
      <c r="BA110" s="113"/>
      <c r="BB110" s="113"/>
      <c r="BC110" s="113"/>
      <c r="BD110" s="113"/>
      <c r="BE110" s="113"/>
      <c r="BF110" s="113"/>
      <c r="BG110" s="113"/>
      <c r="BH110" s="113"/>
      <c r="BI110" s="113"/>
      <c r="BJ110" s="113"/>
      <c r="BK110" s="113"/>
      <c r="BL110" s="113"/>
      <c r="BM110" s="113"/>
      <c r="BN110" s="113"/>
      <c r="BO110" s="113"/>
      <c r="BP110" s="113"/>
      <c r="BQ110" s="113"/>
      <c r="BR110" s="113"/>
    </row>
    <row r="111" spans="1:70">
      <c r="A111" s="76"/>
      <c r="B111" s="76"/>
      <c r="C111" s="76"/>
      <c r="D111" s="76"/>
      <c r="E111" s="76"/>
      <c r="F111" s="76"/>
      <c r="G111" s="76"/>
      <c r="H111" s="76"/>
      <c r="I111" s="76"/>
      <c r="J111" s="76"/>
      <c r="K111" s="76"/>
      <c r="L111" s="76"/>
      <c r="M111" s="76"/>
      <c r="N111" s="76"/>
      <c r="O111" s="76"/>
      <c r="P111" s="76"/>
      <c r="Q111" s="76"/>
      <c r="R111" s="76"/>
      <c r="S111" s="76"/>
      <c r="T111" s="76"/>
      <c r="U111" s="75"/>
      <c r="V111" s="76"/>
      <c r="W111" s="76"/>
      <c r="X111" s="76"/>
      <c r="Y111" s="113"/>
      <c r="Z111" s="113"/>
      <c r="AA111" s="113"/>
      <c r="AB111" s="113"/>
      <c r="AC111" s="113"/>
      <c r="AD111" s="113"/>
      <c r="AE111" s="113"/>
      <c r="AF111" s="113"/>
      <c r="AG111" s="113"/>
      <c r="AH111" s="113"/>
      <c r="AI111" s="113"/>
      <c r="AJ111" s="113"/>
      <c r="AK111" s="113"/>
      <c r="AL111" s="113"/>
      <c r="AM111" s="113"/>
      <c r="AN111" s="113"/>
      <c r="AO111" s="113"/>
      <c r="AP111" s="113"/>
      <c r="AQ111" s="113"/>
      <c r="AR111" s="113"/>
      <c r="AS111" s="113"/>
      <c r="AT111" s="113"/>
      <c r="AU111" s="113"/>
      <c r="AV111" s="113"/>
      <c r="AW111" s="113"/>
      <c r="AX111" s="113"/>
      <c r="AY111" s="113"/>
      <c r="AZ111" s="113"/>
      <c r="BA111" s="113"/>
      <c r="BB111" s="113"/>
      <c r="BC111" s="113"/>
      <c r="BD111" s="113"/>
      <c r="BE111" s="113"/>
      <c r="BF111" s="113"/>
      <c r="BG111" s="113"/>
      <c r="BH111" s="113"/>
      <c r="BI111" s="113"/>
      <c r="BJ111" s="113"/>
      <c r="BK111" s="113"/>
      <c r="BL111" s="113"/>
      <c r="BM111" s="113"/>
      <c r="BN111" s="113"/>
      <c r="BO111" s="113"/>
      <c r="BP111" s="113"/>
      <c r="BQ111" s="113"/>
      <c r="BR111" s="113"/>
    </row>
    <row r="112" spans="1:70">
      <c r="A112" s="76"/>
      <c r="B112" s="76"/>
      <c r="C112" s="76"/>
      <c r="D112" s="76"/>
      <c r="E112" s="76"/>
      <c r="F112" s="76"/>
      <c r="G112" s="76"/>
      <c r="H112" s="76"/>
      <c r="I112" s="76"/>
      <c r="J112" s="76"/>
      <c r="K112" s="76"/>
      <c r="L112" s="76"/>
      <c r="M112" s="76"/>
      <c r="N112" s="76"/>
      <c r="O112" s="76"/>
      <c r="P112" s="76"/>
      <c r="Q112" s="76"/>
      <c r="R112" s="76"/>
      <c r="S112" s="76"/>
      <c r="T112" s="76"/>
      <c r="U112" s="75"/>
      <c r="V112" s="76"/>
      <c r="W112" s="76"/>
      <c r="X112" s="76"/>
      <c r="Y112" s="113"/>
      <c r="Z112" s="113"/>
      <c r="AA112" s="113"/>
      <c r="AB112" s="113"/>
      <c r="AC112" s="113"/>
      <c r="AD112" s="113"/>
      <c r="AE112" s="113"/>
      <c r="AF112" s="113"/>
      <c r="AG112" s="113"/>
      <c r="AH112" s="113"/>
      <c r="AI112" s="113"/>
      <c r="AJ112" s="113"/>
      <c r="AK112" s="113"/>
      <c r="AL112" s="113"/>
      <c r="AM112" s="113"/>
      <c r="AN112" s="113"/>
      <c r="AO112" s="113"/>
      <c r="AP112" s="113"/>
      <c r="AQ112" s="113"/>
      <c r="AR112" s="113"/>
      <c r="AS112" s="113"/>
      <c r="AT112" s="113"/>
      <c r="AU112" s="113"/>
      <c r="AV112" s="113"/>
      <c r="AW112" s="113"/>
      <c r="AX112" s="113"/>
      <c r="AY112" s="113"/>
      <c r="AZ112" s="113"/>
      <c r="BA112" s="113"/>
      <c r="BB112" s="113"/>
      <c r="BC112" s="113"/>
      <c r="BD112" s="113"/>
      <c r="BE112" s="113"/>
      <c r="BF112" s="113"/>
      <c r="BG112" s="113"/>
      <c r="BH112" s="113"/>
      <c r="BI112" s="113"/>
      <c r="BJ112" s="113"/>
      <c r="BK112" s="113"/>
      <c r="BL112" s="113"/>
      <c r="BM112" s="113"/>
      <c r="BN112" s="113"/>
      <c r="BO112" s="113"/>
      <c r="BP112" s="113"/>
      <c r="BQ112" s="113"/>
      <c r="BR112" s="113"/>
    </row>
    <row r="113" spans="1:70">
      <c r="A113" s="75"/>
      <c r="B113" s="75"/>
      <c r="C113" s="75"/>
      <c r="D113" s="75"/>
      <c r="E113" s="119"/>
      <c r="F113" s="81"/>
      <c r="G113" s="81"/>
      <c r="H113" s="81"/>
      <c r="I113" s="81"/>
      <c r="J113" s="81"/>
      <c r="K113" s="75"/>
      <c r="L113" s="75"/>
      <c r="M113" s="75"/>
      <c r="N113" s="76"/>
      <c r="O113" s="76"/>
      <c r="P113" s="76"/>
      <c r="Q113" s="76"/>
      <c r="R113" s="76"/>
      <c r="S113" s="76"/>
      <c r="T113" s="76"/>
      <c r="U113" s="76"/>
      <c r="V113" s="76"/>
      <c r="W113" s="76"/>
      <c r="X113" s="76"/>
      <c r="Y113" s="113"/>
      <c r="Z113" s="113"/>
      <c r="AA113" s="113"/>
      <c r="AB113" s="113"/>
      <c r="AC113" s="113"/>
      <c r="AD113" s="113"/>
      <c r="AE113" s="113"/>
      <c r="AF113" s="113"/>
      <c r="AG113" s="113"/>
      <c r="AH113" s="113"/>
      <c r="AI113" s="113"/>
      <c r="AJ113" s="113"/>
      <c r="AK113" s="113"/>
      <c r="AL113" s="113"/>
      <c r="AM113" s="113"/>
      <c r="AN113" s="113"/>
      <c r="AO113" s="113"/>
      <c r="AP113" s="113"/>
      <c r="AQ113" s="113"/>
      <c r="AR113" s="113"/>
      <c r="AS113" s="113"/>
      <c r="AT113" s="113"/>
      <c r="AU113" s="113"/>
      <c r="AV113" s="113"/>
      <c r="AW113" s="113"/>
      <c r="AX113" s="113"/>
      <c r="AY113" s="113"/>
      <c r="AZ113" s="113"/>
      <c r="BA113" s="113"/>
      <c r="BB113" s="113"/>
      <c r="BC113" s="113"/>
      <c r="BD113" s="113"/>
      <c r="BE113" s="113"/>
      <c r="BF113" s="113"/>
      <c r="BG113" s="113"/>
      <c r="BH113" s="113"/>
      <c r="BI113" s="113"/>
      <c r="BJ113" s="113"/>
      <c r="BK113" s="113"/>
      <c r="BL113" s="113"/>
      <c r="BM113" s="113"/>
      <c r="BN113" s="113"/>
      <c r="BO113" s="113"/>
      <c r="BP113" s="113"/>
      <c r="BQ113" s="113"/>
      <c r="BR113" s="113"/>
    </row>
    <row r="114" spans="1:70">
      <c r="A114" s="75"/>
      <c r="B114" s="75"/>
      <c r="C114" s="75"/>
      <c r="D114" s="75"/>
      <c r="E114" s="119"/>
      <c r="F114" s="81"/>
      <c r="G114" s="81"/>
      <c r="H114" s="81"/>
      <c r="I114" s="81"/>
      <c r="J114" s="81"/>
      <c r="K114" s="75"/>
      <c r="L114" s="75"/>
      <c r="M114" s="75"/>
      <c r="N114" s="76"/>
      <c r="O114" s="76"/>
      <c r="P114" s="76"/>
      <c r="Q114" s="76"/>
      <c r="R114" s="76"/>
      <c r="S114" s="76"/>
      <c r="T114" s="76"/>
      <c r="U114" s="76"/>
      <c r="V114" s="76"/>
      <c r="W114" s="76"/>
      <c r="X114" s="76"/>
      <c r="Y114" s="113"/>
      <c r="Z114" s="113"/>
      <c r="AA114" s="113"/>
      <c r="AB114" s="113"/>
      <c r="AC114" s="113"/>
      <c r="AD114" s="113"/>
      <c r="AE114" s="113"/>
      <c r="AF114" s="113"/>
      <c r="AG114" s="113"/>
      <c r="AH114" s="113"/>
      <c r="AI114" s="113"/>
      <c r="AJ114" s="113"/>
      <c r="AK114" s="113"/>
      <c r="AL114" s="113"/>
      <c r="AM114" s="113"/>
      <c r="AN114" s="113"/>
      <c r="AO114" s="113"/>
      <c r="AP114" s="113"/>
      <c r="AQ114" s="113"/>
      <c r="AR114" s="113"/>
      <c r="AS114" s="113"/>
      <c r="AT114" s="113"/>
      <c r="AU114" s="113"/>
      <c r="AV114" s="113"/>
      <c r="AW114" s="113"/>
      <c r="AX114" s="113"/>
      <c r="AY114" s="113"/>
      <c r="AZ114" s="113"/>
      <c r="BA114" s="113"/>
      <c r="BB114" s="113"/>
      <c r="BC114" s="113"/>
      <c r="BD114" s="113"/>
      <c r="BE114" s="113"/>
      <c r="BF114" s="113"/>
      <c r="BG114" s="113"/>
      <c r="BH114" s="113"/>
      <c r="BI114" s="113"/>
      <c r="BJ114" s="113"/>
      <c r="BK114" s="113"/>
      <c r="BL114" s="113"/>
      <c r="BM114" s="113"/>
      <c r="BN114" s="113"/>
      <c r="BO114" s="113"/>
      <c r="BP114" s="113"/>
      <c r="BQ114" s="113"/>
      <c r="BR114" s="113"/>
    </row>
    <row r="115" spans="1:70">
      <c r="A115" s="75"/>
      <c r="B115" s="75"/>
      <c r="C115" s="75"/>
      <c r="D115" s="75"/>
      <c r="E115" s="119"/>
      <c r="F115" s="81"/>
      <c r="G115" s="81"/>
      <c r="H115" s="81"/>
      <c r="I115" s="81"/>
      <c r="J115" s="81"/>
      <c r="K115" s="75"/>
      <c r="L115" s="75"/>
      <c r="M115" s="75"/>
      <c r="N115" s="76"/>
      <c r="O115" s="76"/>
      <c r="P115" s="76"/>
      <c r="Q115" s="76"/>
      <c r="R115" s="76"/>
      <c r="S115" s="76"/>
      <c r="T115" s="76"/>
      <c r="U115" s="76"/>
      <c r="V115" s="76"/>
      <c r="W115" s="76"/>
      <c r="X115" s="76"/>
      <c r="Y115" s="113"/>
      <c r="Z115" s="113"/>
      <c r="AA115" s="113"/>
      <c r="AB115" s="113"/>
      <c r="AC115" s="113"/>
      <c r="AD115" s="113"/>
      <c r="AE115" s="113"/>
      <c r="AF115" s="113"/>
      <c r="AG115" s="113"/>
      <c r="AH115" s="113"/>
      <c r="AI115" s="113"/>
      <c r="AJ115" s="113"/>
      <c r="AK115" s="113"/>
      <c r="AL115" s="113"/>
      <c r="AM115" s="113"/>
      <c r="AN115" s="113"/>
      <c r="AO115" s="113"/>
      <c r="AP115" s="113"/>
      <c r="AQ115" s="113"/>
      <c r="AR115" s="113"/>
      <c r="AS115" s="113"/>
      <c r="AT115" s="113"/>
      <c r="AU115" s="113"/>
      <c r="AV115" s="113"/>
      <c r="AW115" s="113"/>
      <c r="AX115" s="113"/>
      <c r="AY115" s="113"/>
      <c r="AZ115" s="113"/>
      <c r="BA115" s="113"/>
      <c r="BB115" s="113"/>
      <c r="BC115" s="113"/>
      <c r="BD115" s="113"/>
      <c r="BE115" s="113"/>
      <c r="BF115" s="113"/>
      <c r="BG115" s="113"/>
      <c r="BH115" s="113"/>
      <c r="BI115" s="113"/>
      <c r="BJ115" s="113"/>
      <c r="BK115" s="113"/>
      <c r="BL115" s="113"/>
      <c r="BM115" s="113"/>
      <c r="BN115" s="113"/>
      <c r="BO115" s="113"/>
      <c r="BP115" s="113"/>
      <c r="BQ115" s="113"/>
      <c r="BR115" s="113"/>
    </row>
    <row r="116" spans="1:70">
      <c r="A116" s="75"/>
      <c r="B116" s="75"/>
      <c r="C116" s="75"/>
      <c r="D116" s="75"/>
      <c r="E116" s="119"/>
      <c r="F116" s="81"/>
      <c r="G116" s="81"/>
      <c r="H116" s="81"/>
      <c r="I116" s="81"/>
      <c r="J116" s="81"/>
      <c r="K116" s="79"/>
      <c r="L116" s="75"/>
      <c r="M116" s="75"/>
      <c r="N116" s="76"/>
      <c r="O116" s="76"/>
      <c r="P116" s="76"/>
      <c r="Q116" s="76"/>
      <c r="R116" s="76"/>
      <c r="S116" s="76"/>
      <c r="T116" s="76"/>
      <c r="U116" s="76"/>
      <c r="V116" s="76"/>
      <c r="W116" s="76"/>
      <c r="X116" s="76"/>
      <c r="Y116" s="113"/>
      <c r="Z116" s="113"/>
      <c r="AA116" s="113"/>
      <c r="AB116" s="113"/>
      <c r="AC116" s="113"/>
      <c r="AD116" s="113"/>
      <c r="AE116" s="113"/>
      <c r="AF116" s="113"/>
      <c r="AG116" s="113"/>
      <c r="AH116" s="113"/>
      <c r="AI116" s="113"/>
      <c r="AJ116" s="113"/>
      <c r="AK116" s="113"/>
      <c r="AL116" s="113"/>
      <c r="AM116" s="113"/>
      <c r="AN116" s="113"/>
      <c r="AO116" s="113"/>
      <c r="AP116" s="113"/>
      <c r="AQ116" s="113"/>
      <c r="AR116" s="113"/>
      <c r="AS116" s="113"/>
      <c r="AT116" s="113"/>
      <c r="AU116" s="113"/>
      <c r="AV116" s="113"/>
      <c r="AW116" s="113"/>
      <c r="AX116" s="113"/>
      <c r="AY116" s="113"/>
      <c r="AZ116" s="113"/>
      <c r="BA116" s="113"/>
      <c r="BB116" s="113"/>
      <c r="BC116" s="113"/>
      <c r="BD116" s="113"/>
      <c r="BE116" s="113"/>
      <c r="BF116" s="113"/>
      <c r="BG116" s="113"/>
      <c r="BH116" s="113"/>
      <c r="BI116" s="113"/>
      <c r="BJ116" s="113"/>
      <c r="BK116" s="113"/>
      <c r="BL116" s="113"/>
      <c r="BM116" s="113"/>
      <c r="BN116" s="113"/>
      <c r="BO116" s="113"/>
      <c r="BP116" s="113"/>
      <c r="BQ116" s="113"/>
      <c r="BR116" s="113"/>
    </row>
    <row r="117" spans="1:70">
      <c r="A117" s="75"/>
      <c r="B117" s="75"/>
      <c r="C117" s="75"/>
      <c r="D117" s="75"/>
      <c r="E117" s="119"/>
      <c r="F117" s="81"/>
      <c r="G117" s="81"/>
      <c r="H117" s="81"/>
      <c r="I117" s="81"/>
      <c r="J117" s="81"/>
      <c r="K117" s="81"/>
      <c r="L117" s="81"/>
      <c r="M117" s="75"/>
      <c r="N117" s="76"/>
      <c r="O117" s="76"/>
      <c r="P117" s="76"/>
      <c r="Q117" s="76"/>
      <c r="R117" s="76"/>
      <c r="S117" s="76"/>
      <c r="T117" s="76"/>
      <c r="U117" s="76"/>
      <c r="V117" s="76"/>
      <c r="W117" s="76"/>
      <c r="X117" s="76"/>
      <c r="Y117" s="113"/>
      <c r="Z117" s="113"/>
      <c r="AA117" s="113"/>
      <c r="AB117" s="113"/>
      <c r="AC117" s="113"/>
      <c r="AD117" s="113"/>
      <c r="AE117" s="113"/>
      <c r="AF117" s="113"/>
      <c r="AG117" s="113"/>
      <c r="AH117" s="113"/>
      <c r="AI117" s="113"/>
      <c r="AJ117" s="113"/>
      <c r="AK117" s="113"/>
      <c r="AL117" s="113"/>
      <c r="AM117" s="113"/>
      <c r="AN117" s="113"/>
      <c r="AO117" s="113"/>
      <c r="AP117" s="113"/>
      <c r="AQ117" s="113"/>
      <c r="AR117" s="113"/>
      <c r="AS117" s="113"/>
      <c r="AT117" s="113"/>
      <c r="AU117" s="113"/>
      <c r="AV117" s="113"/>
      <c r="AW117" s="113"/>
      <c r="AX117" s="113"/>
      <c r="AY117" s="113"/>
      <c r="AZ117" s="113"/>
      <c r="BA117" s="113"/>
      <c r="BB117" s="113"/>
      <c r="BC117" s="113"/>
      <c r="BD117" s="113"/>
      <c r="BE117" s="113"/>
      <c r="BF117" s="113"/>
      <c r="BG117" s="113"/>
      <c r="BH117" s="113"/>
      <c r="BI117" s="113"/>
      <c r="BJ117" s="113"/>
      <c r="BK117" s="113"/>
      <c r="BL117" s="113"/>
      <c r="BM117" s="113"/>
      <c r="BN117" s="113"/>
      <c r="BO117" s="113"/>
      <c r="BP117" s="113"/>
      <c r="BQ117" s="113"/>
      <c r="BR117" s="113"/>
    </row>
    <row r="118" spans="1:70">
      <c r="A118" s="75"/>
      <c r="B118" s="75"/>
      <c r="C118" s="75"/>
      <c r="D118" s="75"/>
      <c r="E118" s="81"/>
      <c r="F118" s="81"/>
      <c r="G118" s="76"/>
      <c r="H118" s="76"/>
      <c r="I118" s="76"/>
      <c r="J118" s="76"/>
      <c r="K118" s="76"/>
      <c r="L118" s="76"/>
      <c r="M118" s="76"/>
      <c r="N118" s="120"/>
      <c r="O118" s="76"/>
      <c r="P118" s="76"/>
      <c r="Q118" s="76"/>
      <c r="R118" s="76"/>
      <c r="S118" s="76"/>
      <c r="T118" s="76"/>
      <c r="U118" s="76"/>
      <c r="V118" s="76"/>
      <c r="W118" s="76"/>
      <c r="X118" s="76"/>
      <c r="Y118" s="113"/>
      <c r="Z118" s="113"/>
      <c r="AA118" s="113"/>
      <c r="AB118" s="113"/>
      <c r="AC118" s="113"/>
      <c r="AD118" s="113"/>
      <c r="AE118" s="113"/>
      <c r="AF118" s="113"/>
      <c r="AG118" s="113"/>
      <c r="AH118" s="113"/>
      <c r="AI118" s="113"/>
      <c r="AJ118" s="113"/>
      <c r="AK118" s="113"/>
      <c r="AL118" s="113"/>
      <c r="AM118" s="113"/>
      <c r="AN118" s="113"/>
      <c r="AO118" s="113"/>
      <c r="AP118" s="113"/>
      <c r="AQ118" s="113"/>
      <c r="AR118" s="113"/>
      <c r="AS118" s="113"/>
      <c r="AT118" s="113"/>
      <c r="AU118" s="113"/>
      <c r="AV118" s="113"/>
      <c r="AW118" s="113"/>
      <c r="AX118" s="113"/>
      <c r="AY118" s="113"/>
      <c r="AZ118" s="113"/>
      <c r="BA118" s="113"/>
      <c r="BB118" s="113"/>
      <c r="BC118" s="113"/>
      <c r="BD118" s="113"/>
      <c r="BE118" s="113"/>
      <c r="BF118" s="113"/>
      <c r="BG118" s="113"/>
      <c r="BH118" s="113"/>
      <c r="BI118" s="113"/>
      <c r="BJ118" s="113"/>
      <c r="BK118" s="113"/>
      <c r="BL118" s="113"/>
      <c r="BM118" s="113"/>
      <c r="BN118" s="113"/>
      <c r="BO118" s="113"/>
      <c r="BP118" s="113"/>
      <c r="BQ118" s="113"/>
      <c r="BR118" s="113"/>
    </row>
    <row r="119" spans="1:70">
      <c r="A119" s="113"/>
      <c r="B119" s="113"/>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3"/>
      <c r="AL119" s="113"/>
      <c r="AM119" s="113"/>
      <c r="AN119" s="113"/>
      <c r="AO119" s="113"/>
      <c r="AP119" s="113"/>
      <c r="AQ119" s="113"/>
      <c r="AR119" s="113"/>
      <c r="AS119" s="113"/>
      <c r="AT119" s="113"/>
      <c r="AU119" s="113"/>
      <c r="AV119" s="113"/>
      <c r="AW119" s="113"/>
      <c r="AX119" s="113"/>
      <c r="AY119" s="113"/>
      <c r="AZ119" s="113"/>
      <c r="BA119" s="113"/>
      <c r="BB119" s="113"/>
      <c r="BC119" s="113"/>
      <c r="BD119" s="113"/>
      <c r="BE119" s="113"/>
      <c r="BF119" s="113"/>
      <c r="BG119" s="113"/>
      <c r="BH119" s="113"/>
      <c r="BI119" s="113"/>
      <c r="BJ119" s="113"/>
      <c r="BK119" s="113"/>
      <c r="BL119" s="113"/>
      <c r="BM119" s="113"/>
      <c r="BN119" s="113"/>
      <c r="BO119" s="113"/>
      <c r="BP119" s="113"/>
      <c r="BQ119" s="113"/>
      <c r="BR119" s="113"/>
    </row>
    <row r="120" spans="1:70">
      <c r="A120" s="113"/>
      <c r="B120" s="113"/>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3"/>
      <c r="AL120" s="113"/>
      <c r="AM120" s="113"/>
      <c r="AN120" s="113"/>
      <c r="AO120" s="113"/>
      <c r="AP120" s="113"/>
      <c r="AQ120" s="113"/>
      <c r="AR120" s="113"/>
      <c r="AS120" s="113"/>
      <c r="AT120" s="113"/>
      <c r="AU120" s="113"/>
      <c r="AV120" s="113"/>
      <c r="AW120" s="113"/>
      <c r="AX120" s="113"/>
      <c r="AY120" s="113"/>
      <c r="AZ120" s="113"/>
      <c r="BA120" s="113"/>
      <c r="BB120" s="113"/>
      <c r="BC120" s="113"/>
      <c r="BD120" s="113"/>
      <c r="BE120" s="113"/>
      <c r="BF120" s="113"/>
      <c r="BG120" s="113"/>
      <c r="BH120" s="113"/>
      <c r="BI120" s="113"/>
      <c r="BJ120" s="113"/>
      <c r="BK120" s="113"/>
      <c r="BL120" s="113"/>
      <c r="BM120" s="113"/>
      <c r="BN120" s="113"/>
      <c r="BO120" s="113"/>
      <c r="BP120" s="113"/>
      <c r="BQ120" s="113"/>
      <c r="BR120" s="113"/>
    </row>
    <row r="121" spans="1:70">
      <c r="A121" s="113"/>
      <c r="B121" s="113"/>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3"/>
      <c r="AL121" s="113"/>
      <c r="AM121" s="113"/>
      <c r="AN121" s="113"/>
      <c r="AO121" s="113"/>
      <c r="AP121" s="113"/>
      <c r="AQ121" s="113"/>
      <c r="AR121" s="113"/>
      <c r="AS121" s="113"/>
      <c r="AT121" s="113"/>
      <c r="AU121" s="113"/>
      <c r="AV121" s="113"/>
      <c r="AW121" s="113"/>
      <c r="AX121" s="113"/>
      <c r="AY121" s="113"/>
      <c r="AZ121" s="113"/>
      <c r="BA121" s="113"/>
      <c r="BB121" s="113"/>
      <c r="BC121" s="113"/>
      <c r="BD121" s="113"/>
      <c r="BE121" s="113"/>
      <c r="BF121" s="113"/>
      <c r="BG121" s="113"/>
      <c r="BH121" s="113"/>
      <c r="BI121" s="113"/>
      <c r="BJ121" s="113"/>
      <c r="BK121" s="113"/>
      <c r="BL121" s="113"/>
      <c r="BM121" s="113"/>
      <c r="BN121" s="113"/>
      <c r="BO121" s="113"/>
      <c r="BP121" s="113"/>
      <c r="BQ121" s="113"/>
      <c r="BR121" s="113"/>
    </row>
    <row r="122" spans="1:70">
      <c r="A122" s="113"/>
      <c r="B122" s="113"/>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3"/>
      <c r="AL122" s="113"/>
      <c r="AM122" s="113"/>
      <c r="AN122" s="113"/>
      <c r="AO122" s="113"/>
      <c r="AP122" s="113"/>
      <c r="AQ122" s="113"/>
      <c r="AR122" s="113"/>
      <c r="AS122" s="113"/>
      <c r="AT122" s="113"/>
      <c r="AU122" s="113"/>
      <c r="AV122" s="113"/>
      <c r="AW122" s="113"/>
      <c r="AX122" s="113"/>
      <c r="AY122" s="113"/>
      <c r="AZ122" s="113"/>
      <c r="BA122" s="113"/>
      <c r="BB122" s="113"/>
      <c r="BC122" s="113"/>
      <c r="BD122" s="113"/>
      <c r="BE122" s="113"/>
      <c r="BF122" s="113"/>
      <c r="BG122" s="113"/>
      <c r="BH122" s="113"/>
      <c r="BI122" s="113"/>
      <c r="BJ122" s="113"/>
      <c r="BK122" s="113"/>
      <c r="BL122" s="113"/>
      <c r="BM122" s="113"/>
      <c r="BN122" s="113"/>
      <c r="BO122" s="113"/>
      <c r="BP122" s="113"/>
      <c r="BQ122" s="113"/>
      <c r="BR122" s="113"/>
    </row>
    <row r="123" spans="1:70">
      <c r="A123" s="113"/>
      <c r="B123" s="113"/>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3"/>
      <c r="AL123" s="113"/>
      <c r="AM123" s="113"/>
      <c r="AN123" s="113"/>
      <c r="AO123" s="113"/>
      <c r="AP123" s="113"/>
      <c r="AQ123" s="113"/>
      <c r="AR123" s="113"/>
      <c r="AS123" s="113"/>
      <c r="AT123" s="113"/>
      <c r="AU123" s="113"/>
      <c r="AV123" s="113"/>
      <c r="AW123" s="113"/>
      <c r="AX123" s="113"/>
      <c r="AY123" s="113"/>
      <c r="AZ123" s="113"/>
      <c r="BA123" s="113"/>
      <c r="BB123" s="113"/>
      <c r="BC123" s="113"/>
      <c r="BD123" s="113"/>
      <c r="BE123" s="113"/>
      <c r="BF123" s="113"/>
      <c r="BG123" s="113"/>
      <c r="BH123" s="113"/>
      <c r="BI123" s="113"/>
      <c r="BJ123" s="113"/>
      <c r="BK123" s="113"/>
      <c r="BL123" s="113"/>
      <c r="BM123" s="113"/>
      <c r="BN123" s="113"/>
      <c r="BO123" s="113"/>
      <c r="BP123" s="113"/>
      <c r="BQ123" s="113"/>
      <c r="BR123" s="113"/>
    </row>
    <row r="124" spans="1:70">
      <c r="A124" s="113"/>
      <c r="B124" s="113"/>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3"/>
      <c r="AL124" s="113"/>
      <c r="AM124" s="113"/>
      <c r="AN124" s="113"/>
      <c r="AO124" s="113"/>
      <c r="AP124" s="113"/>
      <c r="AQ124" s="113"/>
      <c r="AR124" s="113"/>
      <c r="AS124" s="113"/>
      <c r="AT124" s="113"/>
      <c r="AU124" s="113"/>
      <c r="AV124" s="113"/>
      <c r="AW124" s="113"/>
      <c r="AX124" s="113"/>
      <c r="AY124" s="113"/>
      <c r="AZ124" s="113"/>
      <c r="BA124" s="113"/>
      <c r="BB124" s="113"/>
      <c r="BC124" s="113"/>
      <c r="BD124" s="113"/>
      <c r="BE124" s="113"/>
      <c r="BF124" s="113"/>
      <c r="BG124" s="113"/>
      <c r="BH124" s="113"/>
      <c r="BI124" s="113"/>
      <c r="BJ124" s="113"/>
      <c r="BK124" s="113"/>
      <c r="BL124" s="113"/>
      <c r="BM124" s="113"/>
      <c r="BN124" s="113"/>
      <c r="BO124" s="113"/>
      <c r="BP124" s="113"/>
      <c r="BQ124" s="113"/>
      <c r="BR124" s="113"/>
    </row>
    <row r="125" spans="1:70">
      <c r="A125" s="113"/>
      <c r="B125" s="113"/>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3"/>
      <c r="AL125" s="113"/>
      <c r="AM125" s="113"/>
      <c r="AN125" s="113"/>
      <c r="AO125" s="113"/>
      <c r="AP125" s="113"/>
      <c r="AQ125" s="113"/>
      <c r="AR125" s="113"/>
      <c r="AS125" s="113"/>
      <c r="AT125" s="113"/>
      <c r="AU125" s="113"/>
      <c r="AV125" s="113"/>
      <c r="AW125" s="113"/>
      <c r="AX125" s="113"/>
      <c r="AY125" s="113"/>
      <c r="AZ125" s="113"/>
      <c r="BA125" s="113"/>
      <c r="BB125" s="113"/>
      <c r="BC125" s="113"/>
      <c r="BD125" s="113"/>
      <c r="BE125" s="113"/>
      <c r="BF125" s="113"/>
      <c r="BG125" s="113"/>
      <c r="BH125" s="113"/>
      <c r="BI125" s="113"/>
      <c r="BJ125" s="113"/>
      <c r="BK125" s="113"/>
      <c r="BL125" s="113"/>
      <c r="BM125" s="113"/>
      <c r="BN125" s="113"/>
      <c r="BO125" s="113"/>
      <c r="BP125" s="113"/>
      <c r="BQ125" s="113"/>
      <c r="BR125" s="113"/>
    </row>
    <row r="126" spans="1:70">
      <c r="A126" s="113"/>
      <c r="B126" s="113"/>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3"/>
      <c r="AL126" s="113"/>
      <c r="AM126" s="113"/>
      <c r="AN126" s="113"/>
      <c r="AO126" s="113"/>
      <c r="AP126" s="113"/>
      <c r="AQ126" s="113"/>
      <c r="AR126" s="113"/>
      <c r="AS126" s="113"/>
      <c r="AT126" s="113"/>
      <c r="AU126" s="113"/>
      <c r="AV126" s="113"/>
      <c r="AW126" s="113"/>
      <c r="AX126" s="113"/>
      <c r="AY126" s="113"/>
      <c r="AZ126" s="113"/>
      <c r="BA126" s="113"/>
      <c r="BB126" s="113"/>
      <c r="BC126" s="113"/>
      <c r="BD126" s="113"/>
      <c r="BE126" s="113"/>
      <c r="BF126" s="113"/>
      <c r="BG126" s="113"/>
      <c r="BH126" s="113"/>
      <c r="BI126" s="113"/>
      <c r="BJ126" s="113"/>
      <c r="BK126" s="113"/>
      <c r="BL126" s="113"/>
      <c r="BM126" s="113"/>
      <c r="BN126" s="113"/>
      <c r="BO126" s="113"/>
      <c r="BP126" s="113"/>
      <c r="BQ126" s="113"/>
      <c r="BR126" s="113"/>
    </row>
    <row r="127" spans="1:70">
      <c r="A127" s="113"/>
      <c r="B127" s="113"/>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3"/>
      <c r="AL127" s="113"/>
      <c r="AM127" s="113"/>
      <c r="AN127" s="113"/>
      <c r="AO127" s="113"/>
      <c r="AP127" s="113"/>
      <c r="AQ127" s="113"/>
      <c r="AR127" s="113"/>
      <c r="AS127" s="113"/>
      <c r="AT127" s="113"/>
      <c r="AU127" s="113"/>
      <c r="AV127" s="113"/>
      <c r="AW127" s="113"/>
      <c r="AX127" s="113"/>
      <c r="AY127" s="113"/>
      <c r="AZ127" s="113"/>
      <c r="BA127" s="113"/>
      <c r="BB127" s="113"/>
      <c r="BC127" s="113"/>
      <c r="BD127" s="113"/>
      <c r="BE127" s="113"/>
      <c r="BF127" s="113"/>
      <c r="BG127" s="113"/>
      <c r="BH127" s="113"/>
      <c r="BI127" s="113"/>
      <c r="BJ127" s="113"/>
      <c r="BK127" s="113"/>
      <c r="BL127" s="113"/>
      <c r="BM127" s="113"/>
      <c r="BN127" s="113"/>
      <c r="BO127" s="113"/>
      <c r="BP127" s="113"/>
      <c r="BQ127" s="113"/>
      <c r="BR127" s="113"/>
    </row>
    <row r="128" spans="1:70">
      <c r="A128" s="113"/>
      <c r="B128" s="113"/>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3"/>
      <c r="AL128" s="113"/>
      <c r="AM128" s="113"/>
      <c r="AN128" s="113"/>
      <c r="AO128" s="113"/>
      <c r="AP128" s="113"/>
      <c r="AQ128" s="113"/>
      <c r="AR128" s="113"/>
      <c r="AS128" s="113"/>
      <c r="AT128" s="113"/>
      <c r="AU128" s="113"/>
      <c r="AV128" s="113"/>
      <c r="AW128" s="113"/>
      <c r="AX128" s="113"/>
      <c r="AY128" s="113"/>
      <c r="AZ128" s="113"/>
      <c r="BA128" s="113"/>
      <c r="BB128" s="113"/>
      <c r="BC128" s="113"/>
      <c r="BD128" s="113"/>
      <c r="BE128" s="113"/>
      <c r="BF128" s="113"/>
      <c r="BG128" s="113"/>
      <c r="BH128" s="113"/>
      <c r="BI128" s="113"/>
      <c r="BJ128" s="113"/>
      <c r="BK128" s="113"/>
      <c r="BL128" s="113"/>
      <c r="BM128" s="113"/>
      <c r="BN128" s="113"/>
      <c r="BO128" s="113"/>
      <c r="BP128" s="113"/>
      <c r="BQ128" s="113"/>
      <c r="BR128" s="113"/>
    </row>
    <row r="129" spans="1:70">
      <c r="A129" s="113"/>
      <c r="B129" s="113"/>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3"/>
      <c r="AL129" s="113"/>
      <c r="AM129" s="113"/>
      <c r="AN129" s="113"/>
      <c r="AO129" s="113"/>
      <c r="AP129" s="113"/>
      <c r="AQ129" s="113"/>
      <c r="AR129" s="113"/>
      <c r="AS129" s="113"/>
      <c r="AT129" s="113"/>
      <c r="AU129" s="113"/>
      <c r="AV129" s="113"/>
      <c r="AW129" s="113"/>
      <c r="AX129" s="113"/>
      <c r="AY129" s="113"/>
      <c r="AZ129" s="113"/>
      <c r="BA129" s="113"/>
      <c r="BB129" s="113"/>
      <c r="BC129" s="113"/>
      <c r="BD129" s="113"/>
      <c r="BE129" s="113"/>
      <c r="BF129" s="113"/>
      <c r="BG129" s="113"/>
      <c r="BH129" s="113"/>
      <c r="BI129" s="113"/>
      <c r="BJ129" s="113"/>
      <c r="BK129" s="113"/>
      <c r="BL129" s="113"/>
      <c r="BM129" s="113"/>
      <c r="BN129" s="113"/>
      <c r="BO129" s="113"/>
      <c r="BP129" s="113"/>
      <c r="BQ129" s="113"/>
      <c r="BR129" s="113"/>
    </row>
    <row r="130" spans="1:70">
      <c r="A130" s="113"/>
      <c r="B130" s="113"/>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3"/>
      <c r="AL130" s="113"/>
      <c r="AM130" s="113"/>
      <c r="AN130" s="113"/>
      <c r="AO130" s="113"/>
      <c r="AP130" s="113"/>
      <c r="AQ130" s="113"/>
      <c r="AR130" s="113"/>
      <c r="AS130" s="113"/>
      <c r="AT130" s="113"/>
      <c r="AU130" s="113"/>
      <c r="AV130" s="113"/>
      <c r="AW130" s="113"/>
      <c r="AX130" s="113"/>
      <c r="AY130" s="113"/>
      <c r="AZ130" s="113"/>
      <c r="BA130" s="113"/>
      <c r="BB130" s="113"/>
      <c r="BC130" s="113"/>
      <c r="BD130" s="113"/>
      <c r="BE130" s="113"/>
      <c r="BF130" s="113"/>
      <c r="BG130" s="113"/>
      <c r="BH130" s="113"/>
      <c r="BI130" s="113"/>
      <c r="BJ130" s="113"/>
      <c r="BK130" s="113"/>
      <c r="BL130" s="113"/>
      <c r="BM130" s="113"/>
      <c r="BN130" s="113"/>
      <c r="BO130" s="113"/>
      <c r="BP130" s="113"/>
      <c r="BQ130" s="113"/>
      <c r="BR130" s="113"/>
    </row>
    <row r="131" spans="1:70">
      <c r="A131" s="113"/>
      <c r="B131" s="113"/>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3"/>
      <c r="AL131" s="113"/>
      <c r="AM131" s="113"/>
      <c r="AN131" s="113"/>
      <c r="AO131" s="113"/>
      <c r="AP131" s="113"/>
      <c r="AQ131" s="113"/>
      <c r="AR131" s="113"/>
      <c r="AS131" s="113"/>
      <c r="AT131" s="113"/>
      <c r="AU131" s="113"/>
      <c r="AV131" s="113"/>
      <c r="AW131" s="113"/>
      <c r="AX131" s="113"/>
      <c r="AY131" s="113"/>
      <c r="AZ131" s="113"/>
      <c r="BA131" s="113"/>
      <c r="BB131" s="113"/>
      <c r="BC131" s="113"/>
      <c r="BD131" s="113"/>
      <c r="BE131" s="113"/>
      <c r="BF131" s="113"/>
      <c r="BG131" s="113"/>
      <c r="BH131" s="113"/>
      <c r="BI131" s="113"/>
      <c r="BJ131" s="113"/>
      <c r="BK131" s="113"/>
      <c r="BL131" s="113"/>
      <c r="BM131" s="113"/>
      <c r="BN131" s="113"/>
      <c r="BO131" s="113"/>
      <c r="BP131" s="113"/>
      <c r="BQ131" s="113"/>
      <c r="BR131" s="113"/>
    </row>
    <row r="132" spans="1:70">
      <c r="A132" s="113"/>
      <c r="B132" s="113"/>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3"/>
      <c r="AL132" s="113"/>
      <c r="AM132" s="113"/>
      <c r="AN132" s="113"/>
      <c r="AO132" s="113"/>
      <c r="AP132" s="113"/>
      <c r="AQ132" s="113"/>
      <c r="AR132" s="113"/>
      <c r="AS132" s="113"/>
      <c r="AT132" s="113"/>
      <c r="AU132" s="113"/>
      <c r="AV132" s="113"/>
      <c r="AW132" s="113"/>
      <c r="AX132" s="113"/>
      <c r="AY132" s="113"/>
      <c r="AZ132" s="113"/>
      <c r="BA132" s="113"/>
      <c r="BB132" s="113"/>
      <c r="BC132" s="113"/>
      <c r="BD132" s="113"/>
      <c r="BE132" s="113"/>
      <c r="BF132" s="113"/>
      <c r="BG132" s="113"/>
      <c r="BH132" s="113"/>
      <c r="BI132" s="113"/>
      <c r="BJ132" s="113"/>
      <c r="BK132" s="113"/>
      <c r="BL132" s="113"/>
      <c r="BM132" s="113"/>
      <c r="BN132" s="113"/>
      <c r="BO132" s="113"/>
      <c r="BP132" s="113"/>
      <c r="BQ132" s="113"/>
      <c r="BR132" s="113"/>
    </row>
    <row r="133" spans="1:70">
      <c r="A133" s="113"/>
      <c r="B133" s="113"/>
      <c r="C133" s="113"/>
      <c r="D133" s="113"/>
      <c r="E133" s="113"/>
      <c r="F133" s="113"/>
      <c r="G133" s="113"/>
      <c r="H133" s="113"/>
      <c r="I133" s="113"/>
      <c r="J133" s="113"/>
      <c r="K133" s="113"/>
      <c r="L133" s="113"/>
      <c r="M133" s="113"/>
      <c r="N133" s="113"/>
      <c r="O133" s="113"/>
      <c r="P133" s="113"/>
      <c r="Q133" s="113"/>
      <c r="R133" s="113"/>
      <c r="S133" s="113"/>
      <c r="T133" s="113"/>
      <c r="U133" s="113"/>
      <c r="V133" s="113"/>
      <c r="W133" s="113"/>
      <c r="X133" s="113"/>
      <c r="Y133" s="113"/>
      <c r="Z133" s="113"/>
      <c r="AA133" s="113"/>
      <c r="AB133" s="113"/>
      <c r="AC133" s="113"/>
      <c r="AD133" s="113"/>
      <c r="AE133" s="113"/>
      <c r="AF133" s="113"/>
      <c r="AG133" s="113"/>
      <c r="AH133" s="113"/>
      <c r="AI133" s="113"/>
      <c r="AJ133" s="113"/>
      <c r="AK133" s="113"/>
      <c r="AL133" s="113"/>
      <c r="AM133" s="113"/>
      <c r="AN133" s="113"/>
      <c r="AO133" s="113"/>
      <c r="AP133" s="113"/>
      <c r="AQ133" s="113"/>
      <c r="AR133" s="113"/>
      <c r="AS133" s="113"/>
      <c r="AT133" s="113"/>
      <c r="AU133" s="113"/>
      <c r="AV133" s="113"/>
      <c r="AW133" s="113"/>
      <c r="AX133" s="113"/>
      <c r="AY133" s="113"/>
      <c r="AZ133" s="113"/>
      <c r="BA133" s="113"/>
      <c r="BB133" s="113"/>
      <c r="BC133" s="113"/>
      <c r="BD133" s="113"/>
      <c r="BE133" s="113"/>
      <c r="BF133" s="113"/>
      <c r="BG133" s="113"/>
      <c r="BH133" s="113"/>
      <c r="BI133" s="113"/>
      <c r="BJ133" s="113"/>
      <c r="BK133" s="113"/>
      <c r="BL133" s="113"/>
      <c r="BM133" s="113"/>
      <c r="BN133" s="113"/>
      <c r="BO133" s="113"/>
      <c r="BP133" s="113"/>
      <c r="BQ133" s="113"/>
      <c r="BR133" s="113"/>
    </row>
    <row r="134" spans="1:70">
      <c r="A134" s="113"/>
      <c r="B134" s="113"/>
      <c r="C134" s="113"/>
      <c r="D134" s="113"/>
      <c r="E134" s="113"/>
      <c r="F134" s="113"/>
      <c r="G134" s="113"/>
      <c r="H134" s="113"/>
      <c r="I134" s="113"/>
      <c r="J134" s="113"/>
      <c r="K134" s="113"/>
      <c r="L134" s="113"/>
      <c r="M134" s="113"/>
      <c r="N134" s="113"/>
      <c r="O134" s="113"/>
      <c r="P134" s="113"/>
      <c r="Q134" s="113"/>
      <c r="R134" s="113"/>
      <c r="S134" s="113"/>
      <c r="T134" s="113"/>
      <c r="U134" s="113"/>
      <c r="V134" s="113"/>
      <c r="W134" s="113"/>
      <c r="X134" s="113"/>
      <c r="Y134" s="113"/>
      <c r="Z134" s="113"/>
      <c r="AA134" s="113"/>
      <c r="AB134" s="113"/>
      <c r="AC134" s="113"/>
      <c r="AD134" s="113"/>
      <c r="AE134" s="113"/>
      <c r="AF134" s="113"/>
      <c r="AG134" s="113"/>
      <c r="AH134" s="113"/>
      <c r="AI134" s="113"/>
      <c r="AJ134" s="113"/>
      <c r="AK134" s="113"/>
      <c r="AL134" s="113"/>
      <c r="AM134" s="113"/>
      <c r="AN134" s="113"/>
      <c r="AO134" s="113"/>
      <c r="AP134" s="113"/>
      <c r="AQ134" s="113"/>
      <c r="AR134" s="113"/>
      <c r="AS134" s="113"/>
      <c r="AT134" s="113"/>
      <c r="AU134" s="113"/>
      <c r="AV134" s="113"/>
      <c r="AW134" s="113"/>
      <c r="AX134" s="113"/>
      <c r="AY134" s="113"/>
      <c r="AZ134" s="113"/>
      <c r="BA134" s="113"/>
      <c r="BB134" s="113"/>
      <c r="BC134" s="113"/>
      <c r="BD134" s="113"/>
      <c r="BE134" s="113"/>
      <c r="BF134" s="113"/>
      <c r="BG134" s="113"/>
      <c r="BH134" s="113"/>
      <c r="BI134" s="113"/>
      <c r="BJ134" s="113"/>
      <c r="BK134" s="113"/>
      <c r="BL134" s="113"/>
      <c r="BM134" s="113"/>
      <c r="BN134" s="113"/>
      <c r="BO134" s="113"/>
      <c r="BP134" s="113"/>
      <c r="BQ134" s="113"/>
      <c r="BR134" s="113"/>
    </row>
    <row r="135" spans="1:70">
      <c r="A135" s="113"/>
      <c r="B135" s="113"/>
      <c r="C135" s="113"/>
      <c r="D135" s="113"/>
      <c r="E135" s="113"/>
      <c r="F135" s="113"/>
      <c r="G135" s="113"/>
      <c r="H135" s="113"/>
      <c r="I135" s="113"/>
      <c r="J135" s="113"/>
      <c r="K135" s="113"/>
      <c r="L135" s="113"/>
      <c r="M135" s="113"/>
      <c r="N135" s="113"/>
      <c r="O135" s="113"/>
      <c r="P135" s="113"/>
      <c r="Q135" s="113"/>
      <c r="R135" s="113"/>
      <c r="S135" s="113"/>
      <c r="T135" s="113"/>
      <c r="U135" s="113"/>
      <c r="V135" s="113"/>
      <c r="W135" s="113"/>
      <c r="X135" s="113"/>
      <c r="Y135" s="113"/>
      <c r="Z135" s="113"/>
      <c r="AA135" s="113"/>
      <c r="AB135" s="113"/>
      <c r="AC135" s="113"/>
      <c r="AD135" s="113"/>
      <c r="AE135" s="113"/>
      <c r="AF135" s="113"/>
      <c r="AG135" s="113"/>
      <c r="AH135" s="113"/>
      <c r="AI135" s="113"/>
      <c r="AJ135" s="113"/>
      <c r="AK135" s="113"/>
      <c r="AL135" s="113"/>
      <c r="AM135" s="113"/>
      <c r="AN135" s="113"/>
      <c r="AO135" s="113"/>
      <c r="AP135" s="113"/>
      <c r="AQ135" s="113"/>
      <c r="AR135" s="113"/>
      <c r="AS135" s="113"/>
      <c r="AT135" s="113"/>
      <c r="AU135" s="113"/>
      <c r="AV135" s="113"/>
      <c r="AW135" s="113"/>
      <c r="AX135" s="113"/>
      <c r="AY135" s="113"/>
      <c r="AZ135" s="113"/>
      <c r="BA135" s="113"/>
      <c r="BB135" s="113"/>
      <c r="BC135" s="113"/>
      <c r="BD135" s="113"/>
      <c r="BE135" s="113"/>
      <c r="BF135" s="113"/>
      <c r="BG135" s="113"/>
      <c r="BH135" s="113"/>
      <c r="BI135" s="113"/>
      <c r="BJ135" s="113"/>
      <c r="BK135" s="113"/>
      <c r="BL135" s="113"/>
      <c r="BM135" s="113"/>
      <c r="BN135" s="113"/>
      <c r="BO135" s="113"/>
      <c r="BP135" s="113"/>
      <c r="BQ135" s="113"/>
      <c r="BR135" s="113"/>
    </row>
    <row r="136" spans="1:70">
      <c r="A136" s="113"/>
      <c r="B136" s="113"/>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3"/>
      <c r="AL136" s="113"/>
      <c r="AM136" s="113"/>
      <c r="AN136" s="113"/>
      <c r="AO136" s="113"/>
      <c r="AP136" s="113"/>
      <c r="AQ136" s="113"/>
      <c r="AR136" s="113"/>
      <c r="AS136" s="113"/>
      <c r="AT136" s="113"/>
      <c r="AU136" s="113"/>
      <c r="AV136" s="113"/>
      <c r="AW136" s="113"/>
      <c r="AX136" s="113"/>
      <c r="AY136" s="113"/>
      <c r="AZ136" s="113"/>
      <c r="BA136" s="113"/>
      <c r="BB136" s="113"/>
      <c r="BC136" s="113"/>
      <c r="BD136" s="113"/>
      <c r="BE136" s="113"/>
      <c r="BF136" s="113"/>
      <c r="BG136" s="113"/>
      <c r="BH136" s="113"/>
      <c r="BI136" s="113"/>
      <c r="BJ136" s="113"/>
      <c r="BK136" s="113"/>
      <c r="BL136" s="113"/>
      <c r="BM136" s="113"/>
      <c r="BN136" s="113"/>
      <c r="BO136" s="113"/>
      <c r="BP136" s="113"/>
      <c r="BQ136" s="113"/>
      <c r="BR136" s="113"/>
    </row>
    <row r="137" spans="1:70">
      <c r="A137" s="113"/>
      <c r="B137" s="113"/>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3"/>
      <c r="AL137" s="113"/>
      <c r="AM137" s="113"/>
      <c r="AN137" s="113"/>
      <c r="AO137" s="113"/>
      <c r="AP137" s="113"/>
      <c r="AQ137" s="113"/>
      <c r="AR137" s="113"/>
      <c r="AS137" s="113"/>
      <c r="AT137" s="113"/>
      <c r="AU137" s="113"/>
      <c r="AV137" s="113"/>
      <c r="AW137" s="113"/>
      <c r="AX137" s="113"/>
      <c r="AY137" s="113"/>
      <c r="AZ137" s="113"/>
      <c r="BA137" s="113"/>
      <c r="BB137" s="113"/>
      <c r="BC137" s="113"/>
      <c r="BD137" s="113"/>
      <c r="BE137" s="113"/>
      <c r="BF137" s="113"/>
      <c r="BG137" s="113"/>
      <c r="BH137" s="113"/>
      <c r="BI137" s="113"/>
      <c r="BJ137" s="113"/>
      <c r="BK137" s="113"/>
      <c r="BL137" s="113"/>
      <c r="BM137" s="113"/>
      <c r="BN137" s="113"/>
      <c r="BO137" s="113"/>
      <c r="BP137" s="113"/>
      <c r="BQ137" s="113"/>
      <c r="BR137" s="113"/>
    </row>
    <row r="138" spans="1:70">
      <c r="A138" s="113"/>
      <c r="B138" s="113"/>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3"/>
      <c r="AL138" s="113"/>
      <c r="AM138" s="113"/>
      <c r="AN138" s="113"/>
      <c r="AO138" s="113"/>
      <c r="AP138" s="113"/>
      <c r="AQ138" s="113"/>
      <c r="AR138" s="113"/>
      <c r="AS138" s="113"/>
      <c r="AT138" s="113"/>
      <c r="AU138" s="113"/>
      <c r="AV138" s="113"/>
      <c r="AW138" s="113"/>
      <c r="AX138" s="113"/>
      <c r="AY138" s="113"/>
      <c r="AZ138" s="113"/>
      <c r="BA138" s="113"/>
      <c r="BB138" s="113"/>
      <c r="BC138" s="113"/>
      <c r="BD138" s="113"/>
      <c r="BE138" s="113"/>
      <c r="BF138" s="113"/>
      <c r="BG138" s="113"/>
      <c r="BH138" s="113"/>
      <c r="BI138" s="113"/>
      <c r="BJ138" s="113"/>
      <c r="BK138" s="113"/>
      <c r="BL138" s="113"/>
      <c r="BM138" s="113"/>
      <c r="BN138" s="113"/>
      <c r="BO138" s="113"/>
      <c r="BP138" s="113"/>
      <c r="BQ138" s="113"/>
      <c r="BR138" s="113"/>
    </row>
    <row r="139" spans="1:70">
      <c r="A139" s="113"/>
      <c r="B139" s="113"/>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3"/>
      <c r="AL139" s="113"/>
      <c r="AM139" s="113"/>
      <c r="AN139" s="113"/>
      <c r="AO139" s="113"/>
      <c r="AP139" s="113"/>
      <c r="AQ139" s="113"/>
      <c r="AR139" s="113"/>
      <c r="AS139" s="113"/>
      <c r="AT139" s="113"/>
      <c r="AU139" s="113"/>
      <c r="AV139" s="113"/>
      <c r="AW139" s="113"/>
      <c r="AX139" s="113"/>
      <c r="AY139" s="113"/>
      <c r="AZ139" s="113"/>
      <c r="BA139" s="113"/>
      <c r="BB139" s="113"/>
      <c r="BC139" s="113"/>
      <c r="BD139" s="113"/>
      <c r="BE139" s="113"/>
      <c r="BF139" s="113"/>
      <c r="BG139" s="113"/>
      <c r="BH139" s="113"/>
      <c r="BI139" s="113"/>
      <c r="BJ139" s="113"/>
      <c r="BK139" s="113"/>
      <c r="BL139" s="113"/>
      <c r="BM139" s="113"/>
      <c r="BN139" s="113"/>
      <c r="BO139" s="113"/>
      <c r="BP139" s="113"/>
      <c r="BQ139" s="113"/>
      <c r="BR139" s="113"/>
    </row>
    <row r="140" spans="1:70">
      <c r="A140" s="113"/>
      <c r="B140" s="113"/>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3"/>
      <c r="AL140" s="113"/>
      <c r="AM140" s="113"/>
      <c r="AN140" s="113"/>
      <c r="AO140" s="113"/>
      <c r="AP140" s="113"/>
      <c r="AQ140" s="113"/>
      <c r="AR140" s="113"/>
      <c r="AS140" s="113"/>
      <c r="AT140" s="113"/>
      <c r="AU140" s="113"/>
      <c r="AV140" s="113"/>
      <c r="AW140" s="113"/>
      <c r="AX140" s="113"/>
      <c r="AY140" s="113"/>
      <c r="AZ140" s="113"/>
      <c r="BA140" s="113"/>
      <c r="BB140" s="113"/>
      <c r="BC140" s="113"/>
      <c r="BD140" s="113"/>
      <c r="BE140" s="113"/>
      <c r="BF140" s="113"/>
      <c r="BG140" s="113"/>
      <c r="BH140" s="113"/>
      <c r="BI140" s="113"/>
      <c r="BJ140" s="113"/>
      <c r="BK140" s="113"/>
      <c r="BL140" s="113"/>
      <c r="BM140" s="113"/>
      <c r="BN140" s="113"/>
      <c r="BO140" s="113"/>
      <c r="BP140" s="113"/>
      <c r="BQ140" s="113"/>
      <c r="BR140" s="113"/>
    </row>
    <row r="141" spans="1:70">
      <c r="A141" s="113"/>
      <c r="B141" s="113"/>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3"/>
      <c r="AL141" s="113"/>
      <c r="AM141" s="113"/>
      <c r="AN141" s="113"/>
      <c r="AO141" s="113"/>
      <c r="AP141" s="113"/>
      <c r="AQ141" s="113"/>
      <c r="AR141" s="113"/>
      <c r="AS141" s="113"/>
      <c r="AT141" s="113"/>
      <c r="AU141" s="113"/>
      <c r="AV141" s="113"/>
      <c r="AW141" s="113"/>
      <c r="AX141" s="113"/>
      <c r="AY141" s="113"/>
      <c r="AZ141" s="113"/>
      <c r="BA141" s="113"/>
      <c r="BB141" s="113"/>
      <c r="BC141" s="113"/>
      <c r="BD141" s="113"/>
      <c r="BE141" s="113"/>
      <c r="BF141" s="113"/>
      <c r="BG141" s="113"/>
      <c r="BH141" s="113"/>
      <c r="BI141" s="113"/>
      <c r="BJ141" s="113"/>
      <c r="BK141" s="113"/>
      <c r="BL141" s="113"/>
      <c r="BM141" s="113"/>
      <c r="BN141" s="113"/>
      <c r="BO141" s="113"/>
      <c r="BP141" s="113"/>
      <c r="BQ141" s="113"/>
      <c r="BR141" s="113"/>
    </row>
    <row r="142" spans="1:70">
      <c r="A142" s="113"/>
      <c r="B142" s="113"/>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3"/>
      <c r="AL142" s="113"/>
      <c r="AM142" s="113"/>
      <c r="AN142" s="113"/>
      <c r="AO142" s="113"/>
      <c r="AP142" s="113"/>
      <c r="AQ142" s="113"/>
      <c r="AR142" s="113"/>
      <c r="AS142" s="113"/>
      <c r="AT142" s="113"/>
      <c r="AU142" s="113"/>
      <c r="AV142" s="113"/>
      <c r="AW142" s="113"/>
      <c r="AX142" s="113"/>
      <c r="AY142" s="113"/>
      <c r="AZ142" s="113"/>
      <c r="BA142" s="113"/>
      <c r="BB142" s="113"/>
      <c r="BC142" s="113"/>
      <c r="BD142" s="113"/>
      <c r="BE142" s="113"/>
      <c r="BF142" s="113"/>
      <c r="BG142" s="113"/>
      <c r="BH142" s="113"/>
      <c r="BI142" s="113"/>
      <c r="BJ142" s="113"/>
      <c r="BK142" s="113"/>
      <c r="BL142" s="113"/>
      <c r="BM142" s="113"/>
      <c r="BN142" s="113"/>
      <c r="BO142" s="113"/>
      <c r="BP142" s="113"/>
      <c r="BQ142" s="113"/>
      <c r="BR142" s="113"/>
    </row>
    <row r="143" spans="1:70">
      <c r="A143" s="113"/>
      <c r="B143" s="113"/>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3"/>
      <c r="AL143" s="113"/>
      <c r="AM143" s="113"/>
      <c r="AN143" s="113"/>
      <c r="AO143" s="113"/>
      <c r="AP143" s="113"/>
      <c r="AQ143" s="113"/>
      <c r="AR143" s="113"/>
      <c r="AS143" s="113"/>
      <c r="AT143" s="113"/>
      <c r="AU143" s="113"/>
      <c r="AV143" s="113"/>
      <c r="AW143" s="113"/>
      <c r="AX143" s="113"/>
      <c r="AY143" s="113"/>
      <c r="AZ143" s="113"/>
      <c r="BA143" s="113"/>
      <c r="BB143" s="113"/>
      <c r="BC143" s="113"/>
      <c r="BD143" s="113"/>
      <c r="BE143" s="113"/>
      <c r="BF143" s="113"/>
      <c r="BG143" s="113"/>
      <c r="BH143" s="113"/>
      <c r="BI143" s="113"/>
      <c r="BJ143" s="113"/>
      <c r="BK143" s="113"/>
      <c r="BL143" s="113"/>
      <c r="BM143" s="113"/>
      <c r="BN143" s="113"/>
      <c r="BO143" s="113"/>
      <c r="BP143" s="113"/>
      <c r="BQ143" s="113"/>
      <c r="BR143" s="113"/>
    </row>
    <row r="144" spans="1:70">
      <c r="A144" s="113"/>
      <c r="B144" s="113"/>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3"/>
      <c r="AL144" s="113"/>
      <c r="AM144" s="113"/>
      <c r="AN144" s="113"/>
      <c r="AO144" s="113"/>
      <c r="AP144" s="113"/>
      <c r="AQ144" s="113"/>
      <c r="AR144" s="113"/>
      <c r="AS144" s="113"/>
      <c r="AT144" s="113"/>
      <c r="AU144" s="113"/>
      <c r="AV144" s="113"/>
      <c r="AW144" s="113"/>
      <c r="AX144" s="113"/>
      <c r="AY144" s="113"/>
      <c r="AZ144" s="113"/>
      <c r="BA144" s="113"/>
      <c r="BB144" s="113"/>
      <c r="BC144" s="113"/>
      <c r="BD144" s="113"/>
      <c r="BE144" s="113"/>
      <c r="BF144" s="113"/>
      <c r="BG144" s="113"/>
      <c r="BH144" s="113"/>
      <c r="BI144" s="113"/>
      <c r="BJ144" s="113"/>
      <c r="BK144" s="113"/>
      <c r="BL144" s="113"/>
      <c r="BM144" s="113"/>
      <c r="BN144" s="113"/>
      <c r="BO144" s="113"/>
      <c r="BP144" s="113"/>
      <c r="BQ144" s="113"/>
      <c r="BR144" s="113"/>
    </row>
    <row r="145" spans="1:70">
      <c r="A145" s="113"/>
      <c r="B145" s="113"/>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3"/>
      <c r="AL145" s="113"/>
      <c r="AM145" s="113"/>
      <c r="AN145" s="113"/>
      <c r="AO145" s="113"/>
      <c r="AP145" s="113"/>
      <c r="AQ145" s="113"/>
      <c r="AR145" s="113"/>
      <c r="AS145" s="113"/>
      <c r="AT145" s="113"/>
      <c r="AU145" s="113"/>
      <c r="AV145" s="113"/>
      <c r="AW145" s="113"/>
      <c r="AX145" s="113"/>
      <c r="AY145" s="113"/>
      <c r="AZ145" s="113"/>
      <c r="BA145" s="113"/>
      <c r="BB145" s="113"/>
      <c r="BC145" s="113"/>
      <c r="BD145" s="113"/>
      <c r="BE145" s="113"/>
      <c r="BF145" s="113"/>
      <c r="BG145" s="113"/>
      <c r="BH145" s="113"/>
      <c r="BI145" s="113"/>
      <c r="BJ145" s="113"/>
      <c r="BK145" s="113"/>
      <c r="BL145" s="113"/>
      <c r="BM145" s="113"/>
      <c r="BN145" s="113"/>
      <c r="BO145" s="113"/>
      <c r="BP145" s="113"/>
      <c r="BQ145" s="113"/>
      <c r="BR145" s="113"/>
    </row>
    <row r="146" spans="1:70">
      <c r="A146" s="113"/>
      <c r="B146" s="113"/>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3"/>
      <c r="AL146" s="113"/>
      <c r="AM146" s="113"/>
      <c r="AN146" s="113"/>
      <c r="AO146" s="113"/>
      <c r="AP146" s="113"/>
      <c r="AQ146" s="113"/>
      <c r="AR146" s="113"/>
      <c r="AS146" s="113"/>
      <c r="AT146" s="113"/>
      <c r="AU146" s="113"/>
      <c r="AV146" s="113"/>
      <c r="AW146" s="113"/>
      <c r="AX146" s="113"/>
      <c r="AY146" s="113"/>
      <c r="AZ146" s="113"/>
      <c r="BA146" s="113"/>
      <c r="BB146" s="113"/>
      <c r="BC146" s="113"/>
      <c r="BD146" s="113"/>
      <c r="BE146" s="113"/>
      <c r="BF146" s="113"/>
      <c r="BG146" s="113"/>
      <c r="BH146" s="113"/>
      <c r="BI146" s="113"/>
      <c r="BJ146" s="113"/>
      <c r="BK146" s="113"/>
      <c r="BL146" s="113"/>
      <c r="BM146" s="113"/>
      <c r="BN146" s="113"/>
      <c r="BO146" s="113"/>
      <c r="BP146" s="113"/>
      <c r="BQ146" s="113"/>
      <c r="BR146" s="113"/>
    </row>
    <row r="147" spans="1:70">
      <c r="A147" s="113"/>
      <c r="B147" s="113"/>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3"/>
      <c r="AL147" s="113"/>
      <c r="AM147" s="113"/>
      <c r="AN147" s="113"/>
      <c r="AO147" s="113"/>
      <c r="AP147" s="113"/>
      <c r="AQ147" s="113"/>
      <c r="AR147" s="113"/>
      <c r="AS147" s="113"/>
      <c r="AT147" s="113"/>
      <c r="AU147" s="113"/>
      <c r="AV147" s="113"/>
      <c r="AW147" s="113"/>
      <c r="AX147" s="113"/>
      <c r="AY147" s="113"/>
      <c r="AZ147" s="113"/>
      <c r="BA147" s="113"/>
      <c r="BB147" s="113"/>
      <c r="BC147" s="113"/>
      <c r="BD147" s="113"/>
      <c r="BE147" s="113"/>
      <c r="BF147" s="113"/>
      <c r="BG147" s="113"/>
      <c r="BH147" s="113"/>
      <c r="BI147" s="113"/>
      <c r="BJ147" s="113"/>
      <c r="BK147" s="113"/>
      <c r="BL147" s="113"/>
      <c r="BM147" s="113"/>
      <c r="BN147" s="113"/>
      <c r="BO147" s="113"/>
      <c r="BP147" s="113"/>
      <c r="BQ147" s="113"/>
      <c r="BR147" s="113"/>
    </row>
    <row r="148" spans="1:70">
      <c r="A148" s="113"/>
      <c r="B148" s="113"/>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3"/>
      <c r="AL148" s="113"/>
      <c r="AM148" s="113"/>
      <c r="AN148" s="113"/>
      <c r="AO148" s="113"/>
      <c r="AP148" s="113"/>
      <c r="AQ148" s="113"/>
      <c r="AR148" s="113"/>
      <c r="AS148" s="113"/>
      <c r="AT148" s="113"/>
      <c r="AU148" s="113"/>
      <c r="AV148" s="113"/>
      <c r="AW148" s="113"/>
      <c r="AX148" s="113"/>
      <c r="AY148" s="113"/>
      <c r="AZ148" s="113"/>
      <c r="BA148" s="113"/>
      <c r="BB148" s="113"/>
      <c r="BC148" s="113"/>
      <c r="BD148" s="113"/>
      <c r="BE148" s="113"/>
      <c r="BF148" s="113"/>
      <c r="BG148" s="113"/>
      <c r="BH148" s="113"/>
      <c r="BI148" s="113"/>
      <c r="BJ148" s="113"/>
      <c r="BK148" s="113"/>
      <c r="BL148" s="113"/>
      <c r="BM148" s="113"/>
      <c r="BN148" s="113"/>
      <c r="BO148" s="113"/>
      <c r="BP148" s="113"/>
      <c r="BQ148" s="113"/>
      <c r="BR148" s="113"/>
    </row>
    <row r="149" spans="1:70">
      <c r="A149" s="113"/>
      <c r="B149" s="113"/>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3"/>
      <c r="AL149" s="113"/>
      <c r="AM149" s="113"/>
      <c r="AN149" s="113"/>
      <c r="AO149" s="113"/>
      <c r="AP149" s="113"/>
      <c r="AQ149" s="113"/>
      <c r="AR149" s="113"/>
      <c r="AS149" s="113"/>
      <c r="AT149" s="113"/>
      <c r="AU149" s="113"/>
      <c r="AV149" s="113"/>
      <c r="AW149" s="113"/>
      <c r="AX149" s="113"/>
      <c r="AY149" s="113"/>
      <c r="AZ149" s="113"/>
      <c r="BA149" s="113"/>
      <c r="BB149" s="113"/>
      <c r="BC149" s="113"/>
      <c r="BD149" s="113"/>
      <c r="BE149" s="113"/>
      <c r="BF149" s="113"/>
      <c r="BG149" s="113"/>
      <c r="BH149" s="113"/>
      <c r="BI149" s="113"/>
      <c r="BJ149" s="113"/>
      <c r="BK149" s="113"/>
      <c r="BL149" s="113"/>
      <c r="BM149" s="113"/>
      <c r="BN149" s="113"/>
      <c r="BO149" s="113"/>
      <c r="BP149" s="113"/>
      <c r="BQ149" s="113"/>
      <c r="BR149" s="113"/>
    </row>
    <row r="150" spans="1:70">
      <c r="A150" s="113"/>
      <c r="B150" s="113"/>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3"/>
      <c r="AL150" s="113"/>
      <c r="AM150" s="113"/>
      <c r="AN150" s="113"/>
      <c r="AO150" s="113"/>
      <c r="AP150" s="113"/>
      <c r="AQ150" s="113"/>
      <c r="AR150" s="113"/>
      <c r="AS150" s="113"/>
      <c r="AT150" s="113"/>
      <c r="AU150" s="113"/>
      <c r="AV150" s="113"/>
      <c r="AW150" s="113"/>
      <c r="AX150" s="113"/>
      <c r="AY150" s="113"/>
      <c r="AZ150" s="113"/>
      <c r="BA150" s="113"/>
      <c r="BB150" s="113"/>
      <c r="BC150" s="113"/>
      <c r="BD150" s="113"/>
      <c r="BE150" s="113"/>
      <c r="BF150" s="113"/>
      <c r="BG150" s="113"/>
      <c r="BH150" s="113"/>
      <c r="BI150" s="113"/>
      <c r="BJ150" s="113"/>
      <c r="BK150" s="113"/>
      <c r="BL150" s="113"/>
      <c r="BM150" s="113"/>
      <c r="BN150" s="113"/>
      <c r="BO150" s="113"/>
      <c r="BP150" s="113"/>
      <c r="BQ150" s="113"/>
      <c r="BR150" s="113"/>
    </row>
    <row r="151" spans="1:70">
      <c r="A151" s="113"/>
      <c r="B151" s="113"/>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3"/>
      <c r="AL151" s="113"/>
      <c r="AM151" s="113"/>
      <c r="AN151" s="113"/>
      <c r="AO151" s="113"/>
      <c r="AP151" s="113"/>
      <c r="AQ151" s="113"/>
      <c r="AR151" s="113"/>
      <c r="AS151" s="113"/>
      <c r="AT151" s="113"/>
      <c r="AU151" s="113"/>
      <c r="AV151" s="113"/>
      <c r="AW151" s="113"/>
      <c r="AX151" s="113"/>
      <c r="AY151" s="113"/>
      <c r="AZ151" s="113"/>
      <c r="BA151" s="113"/>
      <c r="BB151" s="113"/>
      <c r="BC151" s="113"/>
      <c r="BD151" s="113"/>
      <c r="BE151" s="113"/>
      <c r="BF151" s="113"/>
      <c r="BG151" s="113"/>
      <c r="BH151" s="113"/>
      <c r="BI151" s="113"/>
      <c r="BJ151" s="113"/>
      <c r="BK151" s="113"/>
      <c r="BL151" s="113"/>
      <c r="BM151" s="113"/>
      <c r="BN151" s="113"/>
      <c r="BO151" s="113"/>
      <c r="BP151" s="113"/>
      <c r="BQ151" s="113"/>
      <c r="BR151" s="113"/>
    </row>
    <row r="152" spans="1:70">
      <c r="A152" s="113"/>
      <c r="B152" s="113"/>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3"/>
      <c r="AL152" s="113"/>
      <c r="AM152" s="113"/>
      <c r="AN152" s="113"/>
      <c r="AO152" s="113"/>
      <c r="AP152" s="113"/>
      <c r="AQ152" s="113"/>
      <c r="AR152" s="113"/>
      <c r="AS152" s="113"/>
      <c r="AT152" s="113"/>
      <c r="AU152" s="113"/>
      <c r="AV152" s="113"/>
      <c r="AW152" s="113"/>
      <c r="AX152" s="113"/>
      <c r="AY152" s="113"/>
      <c r="AZ152" s="113"/>
      <c r="BA152" s="113"/>
      <c r="BB152" s="113"/>
      <c r="BC152" s="113"/>
      <c r="BD152" s="113"/>
      <c r="BE152" s="113"/>
      <c r="BF152" s="113"/>
      <c r="BG152" s="113"/>
      <c r="BH152" s="113"/>
      <c r="BI152" s="113"/>
      <c r="BJ152" s="113"/>
      <c r="BK152" s="113"/>
      <c r="BL152" s="113"/>
      <c r="BM152" s="113"/>
      <c r="BN152" s="113"/>
      <c r="BO152" s="113"/>
      <c r="BP152" s="113"/>
      <c r="BQ152" s="113"/>
      <c r="BR152" s="113"/>
    </row>
    <row r="153" spans="1:70">
      <c r="A153" s="113"/>
      <c r="B153" s="113"/>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3"/>
      <c r="AL153" s="113"/>
      <c r="AM153" s="113"/>
      <c r="AN153" s="113"/>
      <c r="AO153" s="113"/>
      <c r="AP153" s="113"/>
      <c r="AQ153" s="113"/>
      <c r="AR153" s="113"/>
      <c r="AS153" s="113"/>
      <c r="AT153" s="113"/>
      <c r="AU153" s="113"/>
      <c r="AV153" s="113"/>
      <c r="AW153" s="113"/>
      <c r="AX153" s="113"/>
      <c r="AY153" s="113"/>
      <c r="AZ153" s="113"/>
      <c r="BA153" s="113"/>
      <c r="BB153" s="113"/>
      <c r="BC153" s="113"/>
      <c r="BD153" s="113"/>
      <c r="BE153" s="113"/>
      <c r="BF153" s="113"/>
      <c r="BG153" s="113"/>
      <c r="BH153" s="113"/>
      <c r="BI153" s="113"/>
      <c r="BJ153" s="113"/>
      <c r="BK153" s="113"/>
      <c r="BL153" s="113"/>
      <c r="BM153" s="113"/>
      <c r="BN153" s="113"/>
      <c r="BO153" s="113"/>
      <c r="BP153" s="113"/>
      <c r="BQ153" s="113"/>
      <c r="BR153" s="113"/>
    </row>
    <row r="154" spans="1:70">
      <c r="A154" s="113"/>
      <c r="B154" s="113"/>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3"/>
      <c r="AL154" s="113"/>
      <c r="AM154" s="113"/>
      <c r="AN154" s="113"/>
      <c r="AO154" s="113"/>
      <c r="AP154" s="113"/>
      <c r="AQ154" s="113"/>
      <c r="AR154" s="113"/>
      <c r="AS154" s="113"/>
      <c r="AT154" s="113"/>
      <c r="AU154" s="113"/>
      <c r="AV154" s="113"/>
      <c r="AW154" s="113"/>
      <c r="AX154" s="113"/>
      <c r="AY154" s="113"/>
      <c r="AZ154" s="113"/>
      <c r="BA154" s="113"/>
      <c r="BB154" s="113"/>
      <c r="BC154" s="113"/>
      <c r="BD154" s="113"/>
      <c r="BE154" s="113"/>
      <c r="BF154" s="113"/>
      <c r="BG154" s="113"/>
      <c r="BH154" s="113"/>
      <c r="BI154" s="113"/>
      <c r="BJ154" s="113"/>
      <c r="BK154" s="113"/>
      <c r="BL154" s="113"/>
      <c r="BM154" s="113"/>
      <c r="BN154" s="113"/>
      <c r="BO154" s="113"/>
      <c r="BP154" s="113"/>
      <c r="BQ154" s="113"/>
      <c r="BR154" s="113"/>
    </row>
    <row r="155" spans="1:70">
      <c r="A155" s="113"/>
      <c r="B155" s="113"/>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3"/>
      <c r="AL155" s="113"/>
      <c r="AM155" s="113"/>
      <c r="AN155" s="113"/>
      <c r="AO155" s="113"/>
      <c r="AP155" s="113"/>
      <c r="AQ155" s="113"/>
      <c r="AR155" s="113"/>
      <c r="AS155" s="113"/>
      <c r="AT155" s="113"/>
      <c r="AU155" s="113"/>
      <c r="AV155" s="113"/>
      <c r="AW155" s="113"/>
      <c r="AX155" s="113"/>
      <c r="AY155" s="113"/>
      <c r="AZ155" s="113"/>
      <c r="BA155" s="113"/>
      <c r="BB155" s="113"/>
      <c r="BC155" s="113"/>
      <c r="BD155" s="113"/>
      <c r="BE155" s="113"/>
      <c r="BF155" s="113"/>
      <c r="BG155" s="113"/>
      <c r="BH155" s="113"/>
      <c r="BI155" s="113"/>
      <c r="BJ155" s="113"/>
      <c r="BK155" s="113"/>
      <c r="BL155" s="113"/>
      <c r="BM155" s="113"/>
      <c r="BN155" s="113"/>
      <c r="BO155" s="113"/>
      <c r="BP155" s="113"/>
      <c r="BQ155" s="113"/>
      <c r="BR155" s="113"/>
    </row>
    <row r="156" spans="1:70">
      <c r="A156" s="113"/>
      <c r="B156" s="113"/>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3"/>
      <c r="AL156" s="113"/>
      <c r="AM156" s="113"/>
      <c r="AN156" s="113"/>
      <c r="AO156" s="113"/>
      <c r="AP156" s="113"/>
      <c r="AQ156" s="113"/>
      <c r="AR156" s="113"/>
      <c r="AS156" s="113"/>
      <c r="AT156" s="113"/>
      <c r="AU156" s="113"/>
      <c r="AV156" s="113"/>
      <c r="AW156" s="113"/>
      <c r="AX156" s="113"/>
      <c r="AY156" s="113"/>
      <c r="AZ156" s="113"/>
      <c r="BA156" s="113"/>
      <c r="BB156" s="113"/>
      <c r="BC156" s="113"/>
      <c r="BD156" s="113"/>
      <c r="BE156" s="113"/>
      <c r="BF156" s="113"/>
      <c r="BG156" s="113"/>
      <c r="BH156" s="113"/>
      <c r="BI156" s="113"/>
      <c r="BJ156" s="113"/>
      <c r="BK156" s="113"/>
      <c r="BL156" s="113"/>
      <c r="BM156" s="113"/>
      <c r="BN156" s="113"/>
      <c r="BO156" s="113"/>
      <c r="BP156" s="113"/>
      <c r="BQ156" s="113"/>
      <c r="BR156" s="113"/>
    </row>
  </sheetData>
  <sheetProtection algorithmName="SHA-512" hashValue="Ya66C7X5DNf2zfw06U8ZFQ+fy8QIM3ILrlrYaoKcfczUJwzc31NtqYz66dCAMZG8IwlJz56f+bY90c92R1G7lw==" saltValue="N0CB1cKY/N4tuVdk7ABuXQ==" spinCount="100000" sheet="1" scenarios="1" formatCells="0" formatColumns="0" formatRows="0" insertColumns="0" insertRows="0" deleteColumns="0" deleteRows="0" selectLockedCells="1"/>
  <mergeCells count="315">
    <mergeCell ref="AA60:AN60"/>
    <mergeCell ref="W40:X41"/>
    <mergeCell ref="AA45:AN45"/>
    <mergeCell ref="AA46:AN46"/>
    <mergeCell ref="AA47:AN47"/>
    <mergeCell ref="AA43:AN43"/>
    <mergeCell ref="AA44:AN44"/>
    <mergeCell ref="AA48:AN48"/>
    <mergeCell ref="AA52:AN52"/>
    <mergeCell ref="W52:X52"/>
    <mergeCell ref="Y40:Z41"/>
    <mergeCell ref="AA40:AN41"/>
    <mergeCell ref="AA42:AN42"/>
    <mergeCell ref="Y42:Z42"/>
    <mergeCell ref="Y43:Z43"/>
    <mergeCell ref="Y44:Z44"/>
    <mergeCell ref="Y45:Z45"/>
    <mergeCell ref="Y46:Z46"/>
    <mergeCell ref="Y47:Z47"/>
    <mergeCell ref="AA49:AN49"/>
    <mergeCell ref="AA50:AN50"/>
    <mergeCell ref="Y48:Z48"/>
    <mergeCell ref="Y49:Z49"/>
    <mergeCell ref="Y50:Z50"/>
    <mergeCell ref="R51:V51"/>
    <mergeCell ref="R52:V52"/>
    <mergeCell ref="Y63:Z63"/>
    <mergeCell ref="W59:X59"/>
    <mergeCell ref="W58:X58"/>
    <mergeCell ref="W60:X60"/>
    <mergeCell ref="AA67:AN67"/>
    <mergeCell ref="Y58:Z58"/>
    <mergeCell ref="Y62:Z62"/>
    <mergeCell ref="Y59:Z59"/>
    <mergeCell ref="Y64:Z64"/>
    <mergeCell ref="Y65:Z65"/>
    <mergeCell ref="Y66:Z66"/>
    <mergeCell ref="Y67:Z67"/>
    <mergeCell ref="AA62:AN62"/>
    <mergeCell ref="AA63:AN63"/>
    <mergeCell ref="AA64:AN64"/>
    <mergeCell ref="AA65:AN65"/>
    <mergeCell ref="AA66:AN66"/>
    <mergeCell ref="AA61:AN61"/>
    <mergeCell ref="AA58:AN58"/>
    <mergeCell ref="AA59:AN59"/>
    <mergeCell ref="W66:X66"/>
    <mergeCell ref="W61:X61"/>
    <mergeCell ref="AA56:AN56"/>
    <mergeCell ref="Y51:Z51"/>
    <mergeCell ref="Y52:Z52"/>
    <mergeCell ref="Y54:Z54"/>
    <mergeCell ref="Y56:Z56"/>
    <mergeCell ref="AA51:AN51"/>
    <mergeCell ref="AA57:AN57"/>
    <mergeCell ref="Y57:Z57"/>
    <mergeCell ref="AA53:AN53"/>
    <mergeCell ref="AA55:AN55"/>
    <mergeCell ref="Y53:Z53"/>
    <mergeCell ref="Y55:Z55"/>
    <mergeCell ref="AA54:AN54"/>
    <mergeCell ref="A81:E81"/>
    <mergeCell ref="F81:Q81"/>
    <mergeCell ref="R81:V81"/>
    <mergeCell ref="W81:AN81"/>
    <mergeCell ref="A82:F82"/>
    <mergeCell ref="G82:Q82"/>
    <mergeCell ref="R82:X82"/>
    <mergeCell ref="Y82:AN82"/>
    <mergeCell ref="R62:V62"/>
    <mergeCell ref="W53:X53"/>
    <mergeCell ref="W56:X56"/>
    <mergeCell ref="W57:X57"/>
    <mergeCell ref="Y60:Z60"/>
    <mergeCell ref="O61:Q61"/>
    <mergeCell ref="W62:X62"/>
    <mergeCell ref="W63:X63"/>
    <mergeCell ref="W64:X64"/>
    <mergeCell ref="W65:X65"/>
    <mergeCell ref="W54:X54"/>
    <mergeCell ref="Y61:Z61"/>
    <mergeCell ref="O54:Q54"/>
    <mergeCell ref="O56:Q56"/>
    <mergeCell ref="O53:Q53"/>
    <mergeCell ref="R55:V55"/>
    <mergeCell ref="R56:V56"/>
    <mergeCell ref="R57:V57"/>
    <mergeCell ref="R58:V58"/>
    <mergeCell ref="O62:Q62"/>
    <mergeCell ref="R54:V54"/>
    <mergeCell ref="R61:V61"/>
    <mergeCell ref="R53:V53"/>
    <mergeCell ref="J55:N55"/>
    <mergeCell ref="J61:N61"/>
    <mergeCell ref="W55:X55"/>
    <mergeCell ref="O59:Q59"/>
    <mergeCell ref="R64:V64"/>
    <mergeCell ref="J59:N59"/>
    <mergeCell ref="J60:N60"/>
    <mergeCell ref="J62:N62"/>
    <mergeCell ref="J63:N63"/>
    <mergeCell ref="O63:Q63"/>
    <mergeCell ref="O64:Q64"/>
    <mergeCell ref="A86:E86"/>
    <mergeCell ref="F86:G86"/>
    <mergeCell ref="H86:K86"/>
    <mergeCell ref="L86:Q86"/>
    <mergeCell ref="R86:V86"/>
    <mergeCell ref="W86:Z86"/>
    <mergeCell ref="AA86:AE86"/>
    <mergeCell ref="R78:AN80"/>
    <mergeCell ref="A83:E83"/>
    <mergeCell ref="F83:Q83"/>
    <mergeCell ref="R83:W83"/>
    <mergeCell ref="X83:AN83"/>
    <mergeCell ref="AF86:AN86"/>
    <mergeCell ref="A84:E84"/>
    <mergeCell ref="F84:Q84"/>
    <mergeCell ref="R84:V84"/>
    <mergeCell ref="W84:AN84"/>
    <mergeCell ref="A71:Q80"/>
    <mergeCell ref="R77:Y77"/>
    <mergeCell ref="Z77:AN77"/>
    <mergeCell ref="A85:E85"/>
    <mergeCell ref="F85:Q85"/>
    <mergeCell ref="R85:V85"/>
    <mergeCell ref="W85:AN85"/>
    <mergeCell ref="E64:I64"/>
    <mergeCell ref="W45:X45"/>
    <mergeCell ref="W46:X46"/>
    <mergeCell ref="W47:X47"/>
    <mergeCell ref="W48:X48"/>
    <mergeCell ref="W49:X49"/>
    <mergeCell ref="W50:X50"/>
    <mergeCell ref="W51:X51"/>
    <mergeCell ref="J51:N51"/>
    <mergeCell ref="R48:V48"/>
    <mergeCell ref="R49:V49"/>
    <mergeCell ref="R50:V50"/>
    <mergeCell ref="O50:Q50"/>
    <mergeCell ref="J45:N45"/>
    <mergeCell ref="J46:N46"/>
    <mergeCell ref="J47:N47"/>
    <mergeCell ref="J48:N48"/>
    <mergeCell ref="J49:N49"/>
    <mergeCell ref="J50:N50"/>
    <mergeCell ref="R45:V45"/>
    <mergeCell ref="O46:Q46"/>
    <mergeCell ref="O47:Q47"/>
    <mergeCell ref="O60:Q60"/>
    <mergeCell ref="J53:N53"/>
    <mergeCell ref="O43:Q43"/>
    <mergeCell ref="E40:I41"/>
    <mergeCell ref="A40:D41"/>
    <mergeCell ref="E43:I43"/>
    <mergeCell ref="J43:N43"/>
    <mergeCell ref="W42:X42"/>
    <mergeCell ref="A45:D45"/>
    <mergeCell ref="A50:D50"/>
    <mergeCell ref="E66:I66"/>
    <mergeCell ref="E61:I61"/>
    <mergeCell ref="E54:I54"/>
    <mergeCell ref="E55:I55"/>
    <mergeCell ref="E58:I58"/>
    <mergeCell ref="A66:D66"/>
    <mergeCell ref="A65:D65"/>
    <mergeCell ref="E56:I56"/>
    <mergeCell ref="E57:I57"/>
    <mergeCell ref="E53:I53"/>
    <mergeCell ref="A55:D55"/>
    <mergeCell ref="E51:I51"/>
    <mergeCell ref="E52:I52"/>
    <mergeCell ref="E49:I49"/>
    <mergeCell ref="A54:D54"/>
    <mergeCell ref="E63:I63"/>
    <mergeCell ref="U8:AN8"/>
    <mergeCell ref="AA37:AN37"/>
    <mergeCell ref="Y34:AG34"/>
    <mergeCell ref="U26:AN26"/>
    <mergeCell ref="D26:Q26"/>
    <mergeCell ref="V29:AN29"/>
    <mergeCell ref="D29:Q29"/>
    <mergeCell ref="W43:X43"/>
    <mergeCell ref="W44:X44"/>
    <mergeCell ref="R44:V44"/>
    <mergeCell ref="J42:N42"/>
    <mergeCell ref="E42:I42"/>
    <mergeCell ref="A36:F36"/>
    <mergeCell ref="G36:Q36"/>
    <mergeCell ref="A38:F38"/>
    <mergeCell ref="G38:Q38"/>
    <mergeCell ref="O40:V40"/>
    <mergeCell ref="J40:N41"/>
    <mergeCell ref="R38:X38"/>
    <mergeCell ref="O41:Q41"/>
    <mergeCell ref="R41:V41"/>
    <mergeCell ref="A42:D42"/>
    <mergeCell ref="A43:D43"/>
    <mergeCell ref="O42:Q42"/>
    <mergeCell ref="R37:Z37"/>
    <mergeCell ref="A2:AH4"/>
    <mergeCell ref="E5:F5"/>
    <mergeCell ref="H5:I5"/>
    <mergeCell ref="J5:K5"/>
    <mergeCell ref="D23:Q23"/>
    <mergeCell ref="U23:AN23"/>
    <mergeCell ref="D14:Q14"/>
    <mergeCell ref="U14:AN14"/>
    <mergeCell ref="D17:Q17"/>
    <mergeCell ref="U17:AN17"/>
    <mergeCell ref="D20:Q20"/>
    <mergeCell ref="U20:AN20"/>
    <mergeCell ref="D7:Q7"/>
    <mergeCell ref="U7:AN7"/>
    <mergeCell ref="D9:Q9"/>
    <mergeCell ref="U9:AN9"/>
    <mergeCell ref="D11:Q11"/>
    <mergeCell ref="U11:AN11"/>
    <mergeCell ref="Y5:AA5"/>
    <mergeCell ref="AB5:AE5"/>
    <mergeCell ref="AF5:AH5"/>
    <mergeCell ref="AI5:AM5"/>
    <mergeCell ref="D8:Q8"/>
    <mergeCell ref="O45:Q45"/>
    <mergeCell ref="Y38:AN38"/>
    <mergeCell ref="Y32:AN32"/>
    <mergeCell ref="AH34:AJ34"/>
    <mergeCell ref="AK34:AN34"/>
    <mergeCell ref="A35:F35"/>
    <mergeCell ref="G35:Q35"/>
    <mergeCell ref="R35:X35"/>
    <mergeCell ref="Y35:AN35"/>
    <mergeCell ref="A33:H33"/>
    <mergeCell ref="I33:Q33"/>
    <mergeCell ref="R33:X33"/>
    <mergeCell ref="Y33:AN33"/>
    <mergeCell ref="A34:F34"/>
    <mergeCell ref="R32:X32"/>
    <mergeCell ref="N34:Q34"/>
    <mergeCell ref="R34:X34"/>
    <mergeCell ref="G34:L34"/>
    <mergeCell ref="A32:J32"/>
    <mergeCell ref="K32:Q32"/>
    <mergeCell ref="R36:X36"/>
    <mergeCell ref="Y36:AN36"/>
    <mergeCell ref="A37:G37"/>
    <mergeCell ref="H37:Q37"/>
    <mergeCell ref="O55:Q55"/>
    <mergeCell ref="A46:D46"/>
    <mergeCell ref="A44:D44"/>
    <mergeCell ref="R43:V43"/>
    <mergeCell ref="J44:N44"/>
    <mergeCell ref="R42:V42"/>
    <mergeCell ref="R47:V47"/>
    <mergeCell ref="J52:N52"/>
    <mergeCell ref="A49:D49"/>
    <mergeCell ref="A47:D47"/>
    <mergeCell ref="A48:D48"/>
    <mergeCell ref="A52:D52"/>
    <mergeCell ref="O48:Q48"/>
    <mergeCell ref="O49:Q49"/>
    <mergeCell ref="A51:D51"/>
    <mergeCell ref="E45:I45"/>
    <mergeCell ref="E46:I46"/>
    <mergeCell ref="E50:I50"/>
    <mergeCell ref="E44:I44"/>
    <mergeCell ref="E47:I47"/>
    <mergeCell ref="E48:I48"/>
    <mergeCell ref="O51:Q51"/>
    <mergeCell ref="O44:Q44"/>
    <mergeCell ref="R46:V46"/>
    <mergeCell ref="A53:D53"/>
    <mergeCell ref="J64:N64"/>
    <mergeCell ref="A61:D61"/>
    <mergeCell ref="J57:N57"/>
    <mergeCell ref="O52:Q52"/>
    <mergeCell ref="R59:V59"/>
    <mergeCell ref="R60:V60"/>
    <mergeCell ref="E59:I59"/>
    <mergeCell ref="A59:D59"/>
    <mergeCell ref="R63:V63"/>
    <mergeCell ref="A64:D64"/>
    <mergeCell ref="E60:I60"/>
    <mergeCell ref="E62:I62"/>
    <mergeCell ref="A62:D62"/>
    <mergeCell ref="A63:D63"/>
    <mergeCell ref="A60:D60"/>
    <mergeCell ref="O57:Q57"/>
    <mergeCell ref="A58:D58"/>
    <mergeCell ref="O58:Q58"/>
    <mergeCell ref="A56:D56"/>
    <mergeCell ref="J54:N54"/>
    <mergeCell ref="J56:N56"/>
    <mergeCell ref="J58:N58"/>
    <mergeCell ref="A57:D57"/>
    <mergeCell ref="E65:I65"/>
    <mergeCell ref="A70:Q70"/>
    <mergeCell ref="R69:AN70"/>
    <mergeCell ref="AL72:AM72"/>
    <mergeCell ref="AL75:AM75"/>
    <mergeCell ref="R71:AJ73"/>
    <mergeCell ref="R74:AJ76"/>
    <mergeCell ref="R65:V65"/>
    <mergeCell ref="R66:V66"/>
    <mergeCell ref="R67:V67"/>
    <mergeCell ref="O65:Q65"/>
    <mergeCell ref="O66:Q66"/>
    <mergeCell ref="O67:Q67"/>
    <mergeCell ref="A69:Q69"/>
    <mergeCell ref="J65:N65"/>
    <mergeCell ref="J66:N66"/>
    <mergeCell ref="J67:N67"/>
    <mergeCell ref="W67:X67"/>
    <mergeCell ref="E67:I67"/>
    <mergeCell ref="A67:D67"/>
  </mergeCells>
  <phoneticPr fontId="40" type="noConversion"/>
  <printOptions horizontalCentered="1"/>
  <pageMargins left="0.6692913385826772" right="0.47244094488188981" top="0.47244094488188981" bottom="0.31496062992125984" header="0.15748031496062992" footer="0.19685039370078741"/>
  <pageSetup paperSize="9" scale="68" orientation="portrait" r:id="rId1"/>
  <headerFooter>
    <oddHeader>&amp;R&amp;G</oddHeader>
    <oddFooter>&amp;LMHG-PU-F-0019&amp;CPPA-Template ; Rev.: 01/2019&amp;RJ.-U. Liedtke / PU-SD-GA</oddFooter>
  </headerFooter>
  <legacyDrawingHF r:id="rId2"/>
  <extLst>
    <ext xmlns:mx="http://schemas.microsoft.com/office/mac/excel/2008/main" uri="{64002731-A6B0-56B0-2670-7721B7C09600}">
      <mx:PLV Mode="1"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2">
    <pageSetUpPr fitToPage="1"/>
  </sheetPr>
  <dimension ref="A1:BY114"/>
  <sheetViews>
    <sheetView showGridLines="0" zoomScaleNormal="100" workbookViewId="0">
      <selection activeCell="K32" sqref="K32:Q32"/>
    </sheetView>
  </sheetViews>
  <sheetFormatPr baseColWidth="10" defaultColWidth="9.140625" defaultRowHeight="12.75"/>
  <cols>
    <col min="1" max="1" width="0.7109375" style="24" customWidth="1"/>
    <col min="2" max="2" width="3" style="24" customWidth="1"/>
    <col min="3" max="3" width="0.7109375" style="24" customWidth="1"/>
    <col min="4" max="4" width="3" style="24" customWidth="1"/>
    <col min="5" max="5" width="4.85546875" style="24" customWidth="1"/>
    <col min="6" max="6" width="6.7109375" style="24" customWidth="1"/>
    <col min="7" max="7" width="8.28515625" style="24" customWidth="1"/>
    <col min="8" max="9" width="3.42578125" style="24" customWidth="1"/>
    <col min="10" max="10" width="4.28515625" style="24" customWidth="1"/>
    <col min="11" max="11" width="3.7109375" style="24" customWidth="1"/>
    <col min="12" max="12" width="3.85546875" style="24" customWidth="1"/>
    <col min="13" max="13" width="4.7109375" style="24" customWidth="1"/>
    <col min="14" max="14" width="3.140625" style="24" customWidth="1"/>
    <col min="15" max="15" width="4.42578125" style="24" customWidth="1"/>
    <col min="16" max="16" width="3.42578125" style="24" customWidth="1"/>
    <col min="17" max="17" width="2.7109375" style="24" customWidth="1"/>
    <col min="18" max="18" width="0.7109375" style="24" customWidth="1"/>
    <col min="19" max="19" width="3" style="24" customWidth="1"/>
    <col min="20" max="20" width="0.7109375" style="24" customWidth="1"/>
    <col min="21" max="21" width="3.7109375" style="24" customWidth="1"/>
    <col min="22" max="23" width="3.42578125" style="24" customWidth="1"/>
    <col min="24" max="24" width="4.140625" style="24" customWidth="1"/>
    <col min="25" max="25" width="3.28515625" style="24" customWidth="1"/>
    <col min="26" max="26" width="3.7109375" style="24" customWidth="1"/>
    <col min="27" max="31" width="3.42578125" style="24" customWidth="1"/>
    <col min="32" max="32" width="2.42578125" style="24" customWidth="1"/>
    <col min="33" max="39" width="3.42578125" style="24" customWidth="1"/>
    <col min="40" max="40" width="2.7109375" style="24" customWidth="1"/>
    <col min="41" max="16384" width="9.140625" style="24"/>
  </cols>
  <sheetData>
    <row r="1" spans="1:40" ht="9" customHeight="1"/>
    <row r="2" spans="1:40">
      <c r="A2" s="912" t="str">
        <f>VLOOKUP("prozessbezogene und sonstige dokumente",Translations!$A:$T,MATCH(Cover!DR19,Translations!A2:P2,0),0)</f>
        <v>Process-related and other documents</v>
      </c>
      <c r="B2" s="912"/>
      <c r="C2" s="912"/>
      <c r="D2" s="912"/>
      <c r="E2" s="912"/>
      <c r="F2" s="912"/>
      <c r="G2" s="912"/>
      <c r="H2" s="912"/>
      <c r="I2" s="912"/>
      <c r="J2" s="912"/>
      <c r="K2" s="912"/>
      <c r="L2" s="912"/>
      <c r="M2" s="912"/>
      <c r="N2" s="912"/>
      <c r="O2" s="912"/>
      <c r="P2" s="912"/>
      <c r="Q2" s="912"/>
      <c r="R2" s="912"/>
      <c r="S2" s="912"/>
      <c r="T2" s="912"/>
      <c r="U2" s="912"/>
      <c r="V2" s="912"/>
      <c r="W2" s="912"/>
      <c r="X2" s="912"/>
      <c r="Y2" s="912"/>
      <c r="Z2" s="912"/>
      <c r="AA2" s="912"/>
      <c r="AB2" s="912"/>
      <c r="AC2" s="912"/>
      <c r="AD2" s="912"/>
      <c r="AE2" s="912"/>
      <c r="AF2" s="912"/>
      <c r="AG2" s="912"/>
      <c r="AH2" s="912"/>
    </row>
    <row r="3" spans="1:40">
      <c r="A3" s="912"/>
      <c r="B3" s="912"/>
      <c r="C3" s="912"/>
      <c r="D3" s="912"/>
      <c r="E3" s="912"/>
      <c r="F3" s="912"/>
      <c r="G3" s="912"/>
      <c r="H3" s="912"/>
      <c r="I3" s="912"/>
      <c r="J3" s="912"/>
      <c r="K3" s="912"/>
      <c r="L3" s="912"/>
      <c r="M3" s="912"/>
      <c r="N3" s="912"/>
      <c r="O3" s="912"/>
      <c r="P3" s="912"/>
      <c r="Q3" s="912"/>
      <c r="R3" s="912"/>
      <c r="S3" s="912"/>
      <c r="T3" s="912"/>
      <c r="U3" s="912"/>
      <c r="V3" s="912"/>
      <c r="W3" s="912"/>
      <c r="X3" s="912"/>
      <c r="Y3" s="912"/>
      <c r="Z3" s="912"/>
      <c r="AA3" s="912"/>
      <c r="AB3" s="912"/>
      <c r="AC3" s="912"/>
      <c r="AD3" s="912"/>
      <c r="AE3" s="912"/>
      <c r="AF3" s="912"/>
      <c r="AG3" s="912"/>
      <c r="AH3" s="912"/>
    </row>
    <row r="4" spans="1:40" ht="10.5" customHeight="1">
      <c r="A4" s="912"/>
      <c r="B4" s="912"/>
      <c r="C4" s="912"/>
      <c r="D4" s="912"/>
      <c r="E4" s="912"/>
      <c r="F4" s="912"/>
      <c r="G4" s="912"/>
      <c r="H4" s="912"/>
      <c r="I4" s="912"/>
      <c r="J4" s="912"/>
      <c r="K4" s="912"/>
      <c r="L4" s="912"/>
      <c r="M4" s="912"/>
      <c r="N4" s="912"/>
      <c r="O4" s="912"/>
      <c r="P4" s="912"/>
      <c r="Q4" s="912"/>
      <c r="R4" s="912"/>
      <c r="S4" s="912"/>
      <c r="T4" s="912"/>
      <c r="U4" s="912"/>
      <c r="V4" s="912"/>
      <c r="W4" s="912"/>
      <c r="X4" s="912"/>
      <c r="Y4" s="912"/>
      <c r="Z4" s="912"/>
      <c r="AA4" s="912"/>
      <c r="AB4" s="912"/>
      <c r="AC4" s="912"/>
      <c r="AD4" s="912"/>
      <c r="AE4" s="912"/>
      <c r="AF4" s="912"/>
      <c r="AG4" s="912"/>
      <c r="AH4" s="912"/>
    </row>
    <row r="5" spans="1:40" ht="15">
      <c r="E5" s="1186" t="str">
        <f>VLOOKUP("blatt",Translations!$A:$T,MATCH(Cover!DR19,Translations!A2:P2,0),0)</f>
        <v>Page</v>
      </c>
      <c r="F5" s="1186"/>
      <c r="G5" s="72"/>
      <c r="H5" s="1186" t="str">
        <f>VLOOKUP("vonvv",Translations!$A:$T,MATCH(Cover!DR19,Translations!A2:P2,0),0)</f>
        <v>of</v>
      </c>
      <c r="I5" s="1186"/>
      <c r="J5" s="1151"/>
      <c r="K5" s="1151"/>
      <c r="Z5" s="1186" t="str">
        <f>VLOOKUP("standyy",Translations!$A:$T,MATCH(Cover!DR19,Translations!A2:P2,0),0)</f>
        <v>Status:</v>
      </c>
      <c r="AA5" s="1186"/>
      <c r="AB5" s="1186"/>
      <c r="AC5" s="1157"/>
      <c r="AD5" s="1157"/>
      <c r="AE5" s="1157"/>
      <c r="AF5" s="1157"/>
      <c r="AG5" s="1186" t="str">
        <f>VLOOKUP("ydatumf",Translations!$A:$T,MATCH(Cover!DR19,Translations!A2:P2,0),0)</f>
        <v>/ Date:</v>
      </c>
      <c r="AH5" s="1186"/>
      <c r="AI5" s="1186"/>
      <c r="AJ5" s="1150"/>
      <c r="AK5" s="1151"/>
      <c r="AL5" s="1151"/>
      <c r="AM5" s="1151"/>
    </row>
    <row r="6" spans="1:40" ht="4.5" customHeight="1" thickBot="1"/>
    <row r="7" spans="1:40" ht="3" customHeight="1">
      <c r="A7" s="59"/>
      <c r="B7" s="268"/>
      <c r="C7" s="268"/>
      <c r="D7" s="1192"/>
      <c r="E7" s="1192"/>
      <c r="F7" s="1192"/>
      <c r="G7" s="1192"/>
      <c r="H7" s="1192"/>
      <c r="I7" s="1192"/>
      <c r="J7" s="1192"/>
      <c r="K7" s="1192"/>
      <c r="L7" s="1192"/>
      <c r="M7" s="1192"/>
      <c r="N7" s="1192"/>
      <c r="O7" s="1192"/>
      <c r="P7" s="1192"/>
      <c r="Q7" s="1193"/>
      <c r="R7" s="59"/>
      <c r="S7" s="268"/>
      <c r="T7" s="268"/>
      <c r="U7" s="1192"/>
      <c r="V7" s="1192"/>
      <c r="W7" s="1192"/>
      <c r="X7" s="1192"/>
      <c r="Y7" s="1192"/>
      <c r="Z7" s="1192"/>
      <c r="AA7" s="1192"/>
      <c r="AB7" s="1192"/>
      <c r="AC7" s="1192"/>
      <c r="AD7" s="1192"/>
      <c r="AE7" s="1192"/>
      <c r="AF7" s="1192"/>
      <c r="AG7" s="1192"/>
      <c r="AH7" s="1192"/>
      <c r="AI7" s="1192"/>
      <c r="AJ7" s="1192"/>
      <c r="AK7" s="1192"/>
      <c r="AL7" s="1192"/>
      <c r="AM7" s="1192"/>
      <c r="AN7" s="1193"/>
    </row>
    <row r="8" spans="1:40" ht="15.75" customHeight="1">
      <c r="A8" s="42"/>
      <c r="B8" s="271"/>
      <c r="C8" s="31"/>
      <c r="D8" s="1353" t="str">
        <f>Cover!AB23</f>
        <v>8 Software test report</v>
      </c>
      <c r="E8" s="1353"/>
      <c r="F8" s="1353"/>
      <c r="G8" s="1353"/>
      <c r="H8" s="1353"/>
      <c r="I8" s="1353"/>
      <c r="J8" s="1353"/>
      <c r="K8" s="1353"/>
      <c r="L8" s="1353"/>
      <c r="M8" s="1353"/>
      <c r="N8" s="1353"/>
      <c r="O8" s="1353"/>
      <c r="P8" s="1353"/>
      <c r="Q8" s="1354"/>
      <c r="R8" s="42"/>
      <c r="S8" s="271"/>
      <c r="T8" s="31"/>
      <c r="U8" s="1353" t="str">
        <f>Cover!BU23</f>
        <v>16 Tooling list</v>
      </c>
      <c r="V8" s="1353"/>
      <c r="W8" s="1353"/>
      <c r="X8" s="1353"/>
      <c r="Y8" s="1353"/>
      <c r="Z8" s="1353"/>
      <c r="AA8" s="1353"/>
      <c r="AB8" s="1353"/>
      <c r="AC8" s="1353"/>
      <c r="AD8" s="1353"/>
      <c r="AE8" s="1353"/>
      <c r="AF8" s="1353"/>
      <c r="AG8" s="1353"/>
      <c r="AH8" s="1353"/>
      <c r="AI8" s="1353"/>
      <c r="AJ8" s="1353"/>
      <c r="AK8" s="1353"/>
      <c r="AL8" s="1353"/>
      <c r="AM8" s="1353"/>
      <c r="AN8" s="1354"/>
    </row>
    <row r="9" spans="1:40" ht="3" customHeight="1">
      <c r="A9" s="42"/>
      <c r="B9" s="31"/>
      <c r="C9" s="31"/>
      <c r="D9" s="379"/>
      <c r="E9" s="379"/>
      <c r="F9" s="379"/>
      <c r="G9" s="379"/>
      <c r="H9" s="379"/>
      <c r="I9" s="379"/>
      <c r="J9" s="379"/>
      <c r="K9" s="379"/>
      <c r="L9" s="379"/>
      <c r="M9" s="379"/>
      <c r="N9" s="379"/>
      <c r="O9" s="379"/>
      <c r="P9" s="379"/>
      <c r="Q9" s="380"/>
      <c r="R9" s="42"/>
      <c r="S9" s="31"/>
      <c r="T9" s="31"/>
      <c r="U9" s="379"/>
      <c r="V9" s="379"/>
      <c r="W9" s="379"/>
      <c r="X9" s="379"/>
      <c r="Y9" s="379"/>
      <c r="Z9" s="379"/>
      <c r="AA9" s="379"/>
      <c r="AB9" s="379"/>
      <c r="AC9" s="379"/>
      <c r="AD9" s="379"/>
      <c r="AE9" s="379"/>
      <c r="AF9" s="379"/>
      <c r="AG9" s="379"/>
      <c r="AH9" s="379"/>
      <c r="AI9" s="379"/>
      <c r="AJ9" s="379"/>
      <c r="AK9" s="379"/>
      <c r="AL9" s="379"/>
      <c r="AM9" s="379"/>
      <c r="AN9" s="380"/>
    </row>
    <row r="10" spans="1:40" ht="3" customHeight="1">
      <c r="A10" s="42"/>
      <c r="B10" s="31"/>
      <c r="C10" s="31"/>
      <c r="D10" s="379"/>
      <c r="E10" s="379"/>
      <c r="F10" s="379"/>
      <c r="G10" s="379"/>
      <c r="H10" s="379"/>
      <c r="I10" s="379"/>
      <c r="J10" s="379"/>
      <c r="K10" s="379"/>
      <c r="L10" s="379"/>
      <c r="M10" s="379"/>
      <c r="N10" s="379"/>
      <c r="O10" s="379"/>
      <c r="P10" s="379"/>
      <c r="Q10" s="380"/>
      <c r="R10" s="42"/>
      <c r="S10" s="31"/>
      <c r="T10" s="31"/>
      <c r="U10" s="379"/>
      <c r="V10" s="379"/>
      <c r="W10" s="379"/>
      <c r="X10" s="379"/>
      <c r="Y10" s="379"/>
      <c r="Z10" s="379"/>
      <c r="AA10" s="379"/>
      <c r="AB10" s="379"/>
      <c r="AC10" s="379"/>
      <c r="AD10" s="379"/>
      <c r="AE10" s="379"/>
      <c r="AF10" s="379"/>
      <c r="AG10" s="379"/>
      <c r="AH10" s="379"/>
      <c r="AI10" s="379"/>
      <c r="AJ10" s="379"/>
      <c r="AK10" s="379"/>
      <c r="AL10" s="379"/>
      <c r="AM10" s="379"/>
      <c r="AN10" s="380"/>
    </row>
    <row r="11" spans="1:40" ht="15.75" customHeight="1">
      <c r="A11" s="42"/>
      <c r="B11" s="271"/>
      <c r="C11" s="31"/>
      <c r="D11" s="1353" t="str">
        <f>Cover!AB25</f>
        <v>9 Process – FMEA</v>
      </c>
      <c r="E11" s="1353"/>
      <c r="F11" s="1353"/>
      <c r="G11" s="1353"/>
      <c r="H11" s="1353"/>
      <c r="I11" s="1353"/>
      <c r="J11" s="1353"/>
      <c r="K11" s="1353"/>
      <c r="L11" s="1353"/>
      <c r="M11" s="1353"/>
      <c r="N11" s="1353"/>
      <c r="O11" s="1353"/>
      <c r="P11" s="1353"/>
      <c r="Q11" s="1354"/>
      <c r="R11" s="42"/>
      <c r="S11" s="271"/>
      <c r="T11" s="31"/>
      <c r="U11" s="1353" t="str">
        <f>Cover!BU25</f>
        <v>17 Confirmation of agreed capacity</v>
      </c>
      <c r="V11" s="1353"/>
      <c r="W11" s="1353"/>
      <c r="X11" s="1353"/>
      <c r="Y11" s="1353"/>
      <c r="Z11" s="1353"/>
      <c r="AA11" s="1353"/>
      <c r="AB11" s="1353"/>
      <c r="AC11" s="1353"/>
      <c r="AD11" s="1353"/>
      <c r="AE11" s="1353"/>
      <c r="AF11" s="1353"/>
      <c r="AG11" s="1353"/>
      <c r="AH11" s="1353"/>
      <c r="AI11" s="1353"/>
      <c r="AJ11" s="1353"/>
      <c r="AK11" s="1353"/>
      <c r="AL11" s="1353"/>
      <c r="AM11" s="1353"/>
      <c r="AN11" s="1354"/>
    </row>
    <row r="12" spans="1:40" ht="3" customHeight="1">
      <c r="A12" s="42"/>
      <c r="B12" s="31"/>
      <c r="C12" s="31"/>
      <c r="D12" s="379"/>
      <c r="E12" s="379"/>
      <c r="F12" s="379"/>
      <c r="G12" s="379"/>
      <c r="H12" s="379"/>
      <c r="I12" s="379"/>
      <c r="J12" s="379"/>
      <c r="K12" s="379"/>
      <c r="L12" s="379"/>
      <c r="M12" s="379"/>
      <c r="N12" s="379"/>
      <c r="O12" s="379"/>
      <c r="P12" s="379"/>
      <c r="Q12" s="380"/>
      <c r="R12" s="42"/>
      <c r="S12" s="31"/>
      <c r="T12" s="31"/>
      <c r="U12" s="379"/>
      <c r="V12" s="379"/>
      <c r="W12" s="379"/>
      <c r="X12" s="379"/>
      <c r="Y12" s="379"/>
      <c r="Z12" s="379"/>
      <c r="AA12" s="379"/>
      <c r="AB12" s="379"/>
      <c r="AC12" s="379"/>
      <c r="AD12" s="379"/>
      <c r="AE12" s="379"/>
      <c r="AF12" s="379"/>
      <c r="AG12" s="379"/>
      <c r="AH12" s="379"/>
      <c r="AI12" s="379"/>
      <c r="AJ12" s="379"/>
      <c r="AK12" s="379"/>
      <c r="AL12" s="379"/>
      <c r="AM12" s="379"/>
      <c r="AN12" s="380"/>
    </row>
    <row r="13" spans="1:40" ht="3" customHeight="1">
      <c r="A13" s="42"/>
      <c r="B13" s="31"/>
      <c r="C13" s="31"/>
      <c r="D13" s="379"/>
      <c r="E13" s="379"/>
      <c r="F13" s="379"/>
      <c r="G13" s="379"/>
      <c r="H13" s="379"/>
      <c r="I13" s="379"/>
      <c r="J13" s="379"/>
      <c r="K13" s="379"/>
      <c r="L13" s="379"/>
      <c r="M13" s="379"/>
      <c r="N13" s="379"/>
      <c r="O13" s="379"/>
      <c r="P13" s="379"/>
      <c r="Q13" s="380"/>
      <c r="R13" s="42"/>
      <c r="S13" s="31"/>
      <c r="T13" s="31"/>
      <c r="U13" s="379"/>
      <c r="V13" s="379"/>
      <c r="W13" s="379"/>
      <c r="X13" s="379"/>
      <c r="Y13" s="379"/>
      <c r="Z13" s="379"/>
      <c r="AA13" s="379"/>
      <c r="AB13" s="379"/>
      <c r="AC13" s="379"/>
      <c r="AD13" s="379"/>
      <c r="AE13" s="379"/>
      <c r="AF13" s="379"/>
      <c r="AG13" s="379"/>
      <c r="AH13" s="379"/>
      <c r="AI13" s="379"/>
      <c r="AJ13" s="379"/>
      <c r="AK13" s="379"/>
      <c r="AL13" s="379"/>
      <c r="AM13" s="379"/>
      <c r="AN13" s="380"/>
    </row>
    <row r="14" spans="1:40" ht="15.75" customHeight="1">
      <c r="A14" s="42"/>
      <c r="B14" s="271"/>
      <c r="C14" s="31"/>
      <c r="D14" s="1353" t="str">
        <f>Cover!AB27</f>
        <v>10 Process flow chart</v>
      </c>
      <c r="E14" s="1353"/>
      <c r="F14" s="1353"/>
      <c r="G14" s="1353"/>
      <c r="H14" s="1353"/>
      <c r="I14" s="1353"/>
      <c r="J14" s="1353"/>
      <c r="K14" s="1353"/>
      <c r="L14" s="1353"/>
      <c r="M14" s="1353"/>
      <c r="N14" s="1353"/>
      <c r="O14" s="1353"/>
      <c r="P14" s="1353"/>
      <c r="Q14" s="1354"/>
      <c r="R14" s="42"/>
      <c r="S14" s="271"/>
      <c r="T14" s="31"/>
      <c r="U14" s="1353" t="str">
        <f>Cover!BU27</f>
        <v>18 Written self-assessment</v>
      </c>
      <c r="V14" s="1353"/>
      <c r="W14" s="1353"/>
      <c r="X14" s="1353"/>
      <c r="Y14" s="1353"/>
      <c r="Z14" s="1353"/>
      <c r="AA14" s="1353"/>
      <c r="AB14" s="1353"/>
      <c r="AC14" s="1353"/>
      <c r="AD14" s="1353"/>
      <c r="AE14" s="1353"/>
      <c r="AF14" s="1353"/>
      <c r="AG14" s="1353"/>
      <c r="AH14" s="1353"/>
      <c r="AI14" s="1353"/>
      <c r="AJ14" s="1353"/>
      <c r="AK14" s="1353"/>
      <c r="AL14" s="1353"/>
      <c r="AM14" s="1353"/>
      <c r="AN14" s="1354"/>
    </row>
    <row r="15" spans="1:40" ht="3" customHeight="1">
      <c r="A15" s="42"/>
      <c r="B15" s="31"/>
      <c r="C15" s="31"/>
      <c r="D15" s="379"/>
      <c r="E15" s="379"/>
      <c r="F15" s="379"/>
      <c r="G15" s="379"/>
      <c r="H15" s="379"/>
      <c r="I15" s="379"/>
      <c r="J15" s="379"/>
      <c r="K15" s="379"/>
      <c r="L15" s="379"/>
      <c r="M15" s="379"/>
      <c r="N15" s="379"/>
      <c r="O15" s="379"/>
      <c r="P15" s="379"/>
      <c r="Q15" s="380"/>
      <c r="R15" s="42"/>
      <c r="S15" s="31"/>
      <c r="T15" s="31"/>
      <c r="U15" s="379"/>
      <c r="V15" s="379"/>
      <c r="W15" s="379"/>
      <c r="X15" s="379"/>
      <c r="Y15" s="379"/>
      <c r="Z15" s="379"/>
      <c r="AA15" s="379"/>
      <c r="AB15" s="379"/>
      <c r="AC15" s="379"/>
      <c r="AD15" s="379"/>
      <c r="AE15" s="379"/>
      <c r="AF15" s="379"/>
      <c r="AG15" s="379"/>
      <c r="AH15" s="379"/>
      <c r="AI15" s="379"/>
      <c r="AJ15" s="379"/>
      <c r="AK15" s="379"/>
      <c r="AL15" s="379"/>
      <c r="AM15" s="379"/>
      <c r="AN15" s="380"/>
    </row>
    <row r="16" spans="1:40" ht="3" customHeight="1">
      <c r="A16" s="42"/>
      <c r="B16" s="31"/>
      <c r="C16" s="31"/>
      <c r="D16" s="379"/>
      <c r="E16" s="379"/>
      <c r="F16" s="379"/>
      <c r="G16" s="379"/>
      <c r="H16" s="379"/>
      <c r="I16" s="379"/>
      <c r="J16" s="379"/>
      <c r="K16" s="379"/>
      <c r="L16" s="379"/>
      <c r="M16" s="379"/>
      <c r="N16" s="379"/>
      <c r="O16" s="379"/>
      <c r="P16" s="379"/>
      <c r="Q16" s="380"/>
      <c r="R16" s="42"/>
      <c r="S16" s="31"/>
      <c r="T16" s="31"/>
      <c r="U16" s="379"/>
      <c r="V16" s="379"/>
      <c r="W16" s="379"/>
      <c r="X16" s="379"/>
      <c r="Y16" s="379"/>
      <c r="Z16" s="379"/>
      <c r="AA16" s="379"/>
      <c r="AB16" s="379"/>
      <c r="AC16" s="379"/>
      <c r="AD16" s="379"/>
      <c r="AE16" s="379"/>
      <c r="AF16" s="379"/>
      <c r="AG16" s="379"/>
      <c r="AH16" s="379"/>
      <c r="AI16" s="379"/>
      <c r="AJ16" s="379"/>
      <c r="AK16" s="379"/>
      <c r="AL16" s="379"/>
      <c r="AM16" s="379"/>
      <c r="AN16" s="380"/>
    </row>
    <row r="17" spans="1:40" ht="15.75" customHeight="1">
      <c r="A17" s="42"/>
      <c r="B17" s="271"/>
      <c r="C17" s="31"/>
      <c r="D17" s="1353" t="str">
        <f>Cover!AB29</f>
        <v>11 Control plan</v>
      </c>
      <c r="E17" s="1353"/>
      <c r="F17" s="1353"/>
      <c r="G17" s="1353"/>
      <c r="H17" s="1353"/>
      <c r="I17" s="1353"/>
      <c r="J17" s="1353"/>
      <c r="K17" s="1353"/>
      <c r="L17" s="1353"/>
      <c r="M17" s="1353"/>
      <c r="N17" s="1353"/>
      <c r="O17" s="1353"/>
      <c r="P17" s="1353"/>
      <c r="Q17" s="1354"/>
      <c r="R17" s="42"/>
      <c r="S17" s="271"/>
      <c r="T17" s="31"/>
      <c r="U17" s="1353" t="str">
        <f>Cover!BU29</f>
        <v>19 Part history</v>
      </c>
      <c r="V17" s="1353"/>
      <c r="W17" s="1353"/>
      <c r="X17" s="1353"/>
      <c r="Y17" s="1353"/>
      <c r="Z17" s="1353"/>
      <c r="AA17" s="1353"/>
      <c r="AB17" s="1353"/>
      <c r="AC17" s="1353"/>
      <c r="AD17" s="1353"/>
      <c r="AE17" s="1353"/>
      <c r="AF17" s="1353"/>
      <c r="AG17" s="1353"/>
      <c r="AH17" s="1353"/>
      <c r="AI17" s="1353"/>
      <c r="AJ17" s="1353"/>
      <c r="AK17" s="1353"/>
      <c r="AL17" s="1353"/>
      <c r="AM17" s="1353"/>
      <c r="AN17" s="1354"/>
    </row>
    <row r="18" spans="1:40" ht="3" customHeight="1">
      <c r="A18" s="42"/>
      <c r="B18" s="31"/>
      <c r="C18" s="31"/>
      <c r="D18" s="379"/>
      <c r="E18" s="379"/>
      <c r="F18" s="379"/>
      <c r="G18" s="379"/>
      <c r="H18" s="379"/>
      <c r="I18" s="379"/>
      <c r="J18" s="379"/>
      <c r="K18" s="379"/>
      <c r="L18" s="379"/>
      <c r="M18" s="379"/>
      <c r="N18" s="379"/>
      <c r="O18" s="379"/>
      <c r="P18" s="379"/>
      <c r="Q18" s="380"/>
      <c r="R18" s="42"/>
      <c r="S18" s="31"/>
      <c r="T18" s="31"/>
      <c r="U18" s="379"/>
      <c r="V18" s="379"/>
      <c r="W18" s="379"/>
      <c r="X18" s="379"/>
      <c r="Y18" s="379"/>
      <c r="Z18" s="379"/>
      <c r="AA18" s="379"/>
      <c r="AB18" s="379"/>
      <c r="AC18" s="379"/>
      <c r="AD18" s="379"/>
      <c r="AE18" s="379"/>
      <c r="AF18" s="379"/>
      <c r="AG18" s="379"/>
      <c r="AH18" s="379"/>
      <c r="AI18" s="379"/>
      <c r="AJ18" s="379"/>
      <c r="AK18" s="379"/>
      <c r="AL18" s="379"/>
      <c r="AM18" s="379"/>
      <c r="AN18" s="380"/>
    </row>
    <row r="19" spans="1:40" ht="3" customHeight="1">
      <c r="A19" s="42"/>
      <c r="B19" s="31"/>
      <c r="C19" s="31"/>
      <c r="D19" s="379"/>
      <c r="E19" s="379"/>
      <c r="F19" s="379"/>
      <c r="G19" s="379"/>
      <c r="H19" s="379"/>
      <c r="I19" s="379"/>
      <c r="J19" s="379"/>
      <c r="K19" s="379"/>
      <c r="L19" s="379"/>
      <c r="M19" s="379"/>
      <c r="N19" s="379"/>
      <c r="O19" s="379"/>
      <c r="P19" s="379"/>
      <c r="Q19" s="380"/>
      <c r="R19" s="42"/>
      <c r="S19" s="31"/>
      <c r="T19" s="31"/>
      <c r="U19" s="379"/>
      <c r="V19" s="379"/>
      <c r="W19" s="379"/>
      <c r="X19" s="379"/>
      <c r="Y19" s="379"/>
      <c r="Z19" s="379"/>
      <c r="AA19" s="379"/>
      <c r="AB19" s="379"/>
      <c r="AC19" s="379"/>
      <c r="AD19" s="379"/>
      <c r="AE19" s="379"/>
      <c r="AF19" s="379"/>
      <c r="AG19" s="379"/>
      <c r="AH19" s="379"/>
      <c r="AI19" s="379"/>
      <c r="AJ19" s="379"/>
      <c r="AK19" s="379"/>
      <c r="AL19" s="379"/>
      <c r="AM19" s="379"/>
      <c r="AN19" s="380"/>
    </row>
    <row r="20" spans="1:40" ht="15.75" customHeight="1">
      <c r="A20" s="42"/>
      <c r="B20" s="271"/>
      <c r="C20" s="31"/>
      <c r="D20" s="1353" t="str">
        <f>Cover!AB31</f>
        <v>12 Confirmation of process capability</v>
      </c>
      <c r="E20" s="1353"/>
      <c r="F20" s="1353"/>
      <c r="G20" s="1353"/>
      <c r="H20" s="1353"/>
      <c r="I20" s="1353"/>
      <c r="J20" s="1353"/>
      <c r="K20" s="1353"/>
      <c r="L20" s="1353"/>
      <c r="M20" s="1353"/>
      <c r="N20" s="1353"/>
      <c r="O20" s="1353"/>
      <c r="P20" s="1353"/>
      <c r="Q20" s="1354"/>
      <c r="R20" s="42"/>
      <c r="S20" s="271"/>
      <c r="T20" s="31"/>
      <c r="U20" s="1353" t="str">
        <f>Cover!BU31</f>
        <v>20 Confirmation of suitability of transport equipment</v>
      </c>
      <c r="V20" s="1353"/>
      <c r="W20" s="1353"/>
      <c r="X20" s="1353"/>
      <c r="Y20" s="1353"/>
      <c r="Z20" s="1353"/>
      <c r="AA20" s="1353"/>
      <c r="AB20" s="1353"/>
      <c r="AC20" s="1353"/>
      <c r="AD20" s="1353"/>
      <c r="AE20" s="1353"/>
      <c r="AF20" s="1353"/>
      <c r="AG20" s="1353"/>
      <c r="AH20" s="1353"/>
      <c r="AI20" s="1353"/>
      <c r="AJ20" s="1353"/>
      <c r="AK20" s="1353"/>
      <c r="AL20" s="1353"/>
      <c r="AM20" s="1353"/>
      <c r="AN20" s="1354"/>
    </row>
    <row r="21" spans="1:40" ht="3" customHeight="1">
      <c r="A21" s="42"/>
      <c r="B21" s="31"/>
      <c r="C21" s="31"/>
      <c r="D21" s="379"/>
      <c r="E21" s="379"/>
      <c r="F21" s="379"/>
      <c r="G21" s="379"/>
      <c r="H21" s="379"/>
      <c r="I21" s="379"/>
      <c r="J21" s="379"/>
      <c r="K21" s="379"/>
      <c r="L21" s="379"/>
      <c r="M21" s="379"/>
      <c r="N21" s="379"/>
      <c r="O21" s="379"/>
      <c r="P21" s="379"/>
      <c r="Q21" s="380"/>
      <c r="R21" s="42"/>
      <c r="S21" s="31"/>
      <c r="T21" s="31"/>
      <c r="U21" s="379"/>
      <c r="V21" s="379"/>
      <c r="W21" s="379"/>
      <c r="X21" s="379"/>
      <c r="Y21" s="379"/>
      <c r="Z21" s="379"/>
      <c r="AA21" s="379"/>
      <c r="AB21" s="379"/>
      <c r="AC21" s="379"/>
      <c r="AD21" s="379"/>
      <c r="AE21" s="379"/>
      <c r="AF21" s="379"/>
      <c r="AG21" s="379"/>
      <c r="AH21" s="379"/>
      <c r="AI21" s="379"/>
      <c r="AJ21" s="379"/>
      <c r="AK21" s="379"/>
      <c r="AL21" s="379"/>
      <c r="AM21" s="379"/>
      <c r="AN21" s="380"/>
    </row>
    <row r="22" spans="1:40" ht="3" customHeight="1">
      <c r="A22" s="42"/>
      <c r="B22" s="31"/>
      <c r="C22" s="31"/>
      <c r="D22" s="379"/>
      <c r="E22" s="379"/>
      <c r="F22" s="379"/>
      <c r="G22" s="379"/>
      <c r="H22" s="379"/>
      <c r="I22" s="379"/>
      <c r="J22" s="379"/>
      <c r="K22" s="379"/>
      <c r="L22" s="379"/>
      <c r="M22" s="379"/>
      <c r="N22" s="379"/>
      <c r="O22" s="379"/>
      <c r="P22" s="379"/>
      <c r="Q22" s="380"/>
      <c r="R22" s="42"/>
      <c r="S22" s="31"/>
      <c r="T22" s="31"/>
      <c r="U22" s="379"/>
      <c r="V22" s="379"/>
      <c r="W22" s="379"/>
      <c r="X22" s="379"/>
      <c r="Y22" s="379"/>
      <c r="Z22" s="379"/>
      <c r="AA22" s="379"/>
      <c r="AB22" s="379"/>
      <c r="AC22" s="379"/>
      <c r="AD22" s="379"/>
      <c r="AE22" s="379"/>
      <c r="AF22" s="379"/>
      <c r="AG22" s="379"/>
      <c r="AH22" s="379"/>
      <c r="AI22" s="379"/>
      <c r="AJ22" s="379"/>
      <c r="AK22" s="379"/>
      <c r="AL22" s="379"/>
      <c r="AM22" s="379"/>
      <c r="AN22" s="380"/>
    </row>
    <row r="23" spans="1:40" ht="15.75" customHeight="1">
      <c r="A23" s="42"/>
      <c r="B23" s="271"/>
      <c r="C23" s="31"/>
      <c r="D23" s="1353" t="str">
        <f>Cover!AB33</f>
        <v>13 Achievement of special characteristics</v>
      </c>
      <c r="E23" s="1353"/>
      <c r="F23" s="1353"/>
      <c r="G23" s="1353"/>
      <c r="H23" s="1353"/>
      <c r="I23" s="1353"/>
      <c r="J23" s="1353"/>
      <c r="K23" s="1353"/>
      <c r="L23" s="1353"/>
      <c r="M23" s="1353"/>
      <c r="N23" s="1353"/>
      <c r="O23" s="1353"/>
      <c r="P23" s="1353"/>
      <c r="Q23" s="1354"/>
      <c r="R23" s="42"/>
      <c r="S23" s="271"/>
      <c r="T23" s="31"/>
      <c r="U23" s="1353" t="str">
        <f>Cover!BU33</f>
        <v>21 PPA-Status of the supply chain</v>
      </c>
      <c r="V23" s="1353"/>
      <c r="W23" s="1353"/>
      <c r="X23" s="1353"/>
      <c r="Y23" s="1353"/>
      <c r="Z23" s="1353"/>
      <c r="AA23" s="1353"/>
      <c r="AB23" s="1353"/>
      <c r="AC23" s="1353"/>
      <c r="AD23" s="1353"/>
      <c r="AE23" s="1353"/>
      <c r="AF23" s="1353"/>
      <c r="AG23" s="1353"/>
      <c r="AH23" s="1353"/>
      <c r="AI23" s="1353"/>
      <c r="AJ23" s="1353"/>
      <c r="AK23" s="1353"/>
      <c r="AL23" s="1353"/>
      <c r="AM23" s="1353"/>
      <c r="AN23" s="1354"/>
    </row>
    <row r="24" spans="1:40" ht="3" customHeight="1">
      <c r="A24" s="42"/>
      <c r="B24" s="31"/>
      <c r="C24" s="31"/>
      <c r="D24" s="379"/>
      <c r="E24" s="379"/>
      <c r="F24" s="379"/>
      <c r="G24" s="379"/>
      <c r="H24" s="379"/>
      <c r="I24" s="379"/>
      <c r="J24" s="379"/>
      <c r="K24" s="379"/>
      <c r="L24" s="379"/>
      <c r="M24" s="379"/>
      <c r="N24" s="379"/>
      <c r="O24" s="379"/>
      <c r="P24" s="379"/>
      <c r="Q24" s="380"/>
      <c r="R24" s="42"/>
      <c r="S24" s="31"/>
      <c r="T24" s="31"/>
      <c r="U24" s="379"/>
      <c r="V24" s="379"/>
      <c r="W24" s="379"/>
      <c r="X24" s="379"/>
      <c r="Y24" s="379"/>
      <c r="Z24" s="379"/>
      <c r="AA24" s="379"/>
      <c r="AB24" s="379"/>
      <c r="AC24" s="379"/>
      <c r="AD24" s="379"/>
      <c r="AE24" s="379"/>
      <c r="AF24" s="379"/>
      <c r="AG24" s="379"/>
      <c r="AH24" s="379"/>
      <c r="AI24" s="379"/>
      <c r="AJ24" s="379"/>
      <c r="AK24" s="379"/>
      <c r="AL24" s="379"/>
      <c r="AM24" s="379"/>
      <c r="AN24" s="380"/>
    </row>
    <row r="25" spans="1:40" ht="3" customHeight="1">
      <c r="A25" s="42"/>
      <c r="B25" s="31"/>
      <c r="C25" s="31"/>
      <c r="D25" s="379"/>
      <c r="E25" s="379"/>
      <c r="F25" s="379"/>
      <c r="G25" s="379"/>
      <c r="H25" s="379"/>
      <c r="I25" s="379"/>
      <c r="J25" s="379"/>
      <c r="K25" s="379"/>
      <c r="L25" s="379"/>
      <c r="M25" s="379"/>
      <c r="N25" s="379"/>
      <c r="O25" s="379"/>
      <c r="P25" s="379"/>
      <c r="Q25" s="380"/>
      <c r="R25" s="42"/>
      <c r="S25" s="31"/>
      <c r="T25" s="31"/>
      <c r="U25" s="379"/>
      <c r="V25" s="379"/>
      <c r="W25" s="379"/>
      <c r="X25" s="379"/>
      <c r="Y25" s="379"/>
      <c r="Z25" s="379"/>
      <c r="AA25" s="379"/>
      <c r="AB25" s="379"/>
      <c r="AC25" s="379"/>
      <c r="AD25" s="379"/>
      <c r="AE25" s="379"/>
      <c r="AF25" s="379"/>
      <c r="AG25" s="379"/>
      <c r="AH25" s="379"/>
      <c r="AI25" s="379"/>
      <c r="AJ25" s="379"/>
      <c r="AK25" s="379"/>
      <c r="AL25" s="379"/>
      <c r="AM25" s="379"/>
      <c r="AN25" s="380"/>
    </row>
    <row r="26" spans="1:40" ht="15.75" customHeight="1">
      <c r="A26" s="42"/>
      <c r="B26" s="271" t="s">
        <v>653</v>
      </c>
      <c r="C26" s="31"/>
      <c r="D26" s="1353" t="str">
        <f>Cover!AB35</f>
        <v>14 Test / Inspection equipment list</v>
      </c>
      <c r="E26" s="1353"/>
      <c r="F26" s="1353"/>
      <c r="G26" s="1353"/>
      <c r="H26" s="1353"/>
      <c r="I26" s="1353"/>
      <c r="J26" s="1353"/>
      <c r="K26" s="1353"/>
      <c r="L26" s="1353"/>
      <c r="M26" s="1353"/>
      <c r="N26" s="1353"/>
      <c r="O26" s="1353"/>
      <c r="P26" s="1353"/>
      <c r="Q26" s="1354"/>
      <c r="R26" s="42"/>
      <c r="S26" s="271"/>
      <c r="T26" s="31"/>
      <c r="U26" s="1355" t="str">
        <f>Cover!BU35</f>
        <v xml:space="preserve">22 Approval of coating systems </v>
      </c>
      <c r="V26" s="1355"/>
      <c r="W26" s="1355"/>
      <c r="X26" s="1355"/>
      <c r="Y26" s="1355"/>
      <c r="Z26" s="1355"/>
      <c r="AA26" s="1355"/>
      <c r="AB26" s="1355"/>
      <c r="AC26" s="1355"/>
      <c r="AD26" s="1355"/>
      <c r="AE26" s="1355"/>
      <c r="AF26" s="1355"/>
      <c r="AG26" s="1355"/>
      <c r="AH26" s="1355"/>
      <c r="AI26" s="1355"/>
      <c r="AJ26" s="1355"/>
      <c r="AK26" s="1355"/>
      <c r="AL26" s="1355"/>
      <c r="AM26" s="1355"/>
      <c r="AN26" s="1356"/>
    </row>
    <row r="27" spans="1:40" ht="3" customHeight="1">
      <c r="A27" s="42"/>
      <c r="B27" s="31"/>
      <c r="C27" s="31"/>
      <c r="D27" s="379"/>
      <c r="E27" s="379"/>
      <c r="F27" s="379"/>
      <c r="G27" s="379"/>
      <c r="H27" s="379"/>
      <c r="I27" s="379"/>
      <c r="J27" s="379"/>
      <c r="K27" s="379"/>
      <c r="L27" s="379"/>
      <c r="M27" s="379"/>
      <c r="N27" s="379"/>
      <c r="O27" s="379"/>
      <c r="P27" s="379"/>
      <c r="Q27" s="380"/>
      <c r="R27" s="42"/>
      <c r="S27" s="31"/>
      <c r="T27" s="31"/>
      <c r="U27" s="379"/>
      <c r="V27" s="379"/>
      <c r="W27" s="379"/>
      <c r="X27" s="379"/>
      <c r="Y27" s="379"/>
      <c r="Z27" s="379"/>
      <c r="AA27" s="379"/>
      <c r="AB27" s="379"/>
      <c r="AC27" s="379"/>
      <c r="AD27" s="379"/>
      <c r="AE27" s="379"/>
      <c r="AF27" s="379"/>
      <c r="AG27" s="379"/>
      <c r="AH27" s="379"/>
      <c r="AI27" s="379"/>
      <c r="AJ27" s="379"/>
      <c r="AK27" s="379"/>
      <c r="AL27" s="379"/>
      <c r="AM27" s="379"/>
      <c r="AN27" s="380"/>
    </row>
    <row r="28" spans="1:40" ht="3" customHeight="1">
      <c r="A28" s="42"/>
      <c r="B28" s="31"/>
      <c r="C28" s="31"/>
      <c r="D28" s="379"/>
      <c r="E28" s="379"/>
      <c r="F28" s="379"/>
      <c r="G28" s="379"/>
      <c r="H28" s="379"/>
      <c r="I28" s="379"/>
      <c r="J28" s="379"/>
      <c r="K28" s="379"/>
      <c r="L28" s="379"/>
      <c r="M28" s="379"/>
      <c r="N28" s="379"/>
      <c r="O28" s="379"/>
      <c r="P28" s="379"/>
      <c r="Q28" s="380"/>
      <c r="R28" s="42"/>
      <c r="S28" s="31"/>
      <c r="T28" s="31"/>
      <c r="U28" s="379"/>
      <c r="V28" s="379"/>
      <c r="W28" s="379"/>
      <c r="X28" s="379"/>
      <c r="Y28" s="379"/>
      <c r="Z28" s="379"/>
      <c r="AA28" s="379"/>
      <c r="AB28" s="379"/>
      <c r="AC28" s="379"/>
      <c r="AD28" s="379"/>
      <c r="AE28" s="379"/>
      <c r="AF28" s="379"/>
      <c r="AG28" s="379"/>
      <c r="AH28" s="379"/>
      <c r="AI28" s="379"/>
      <c r="AJ28" s="379"/>
      <c r="AK28" s="379"/>
      <c r="AL28" s="379"/>
      <c r="AM28" s="379"/>
      <c r="AN28" s="380"/>
    </row>
    <row r="29" spans="1:40" ht="15.75" customHeight="1">
      <c r="A29" s="42"/>
      <c r="B29" s="271"/>
      <c r="C29" s="31"/>
      <c r="D29" s="1353" t="str">
        <f>Cover!AB37</f>
        <v>15 Capability study testing equipment</v>
      </c>
      <c r="E29" s="1353"/>
      <c r="F29" s="1353"/>
      <c r="G29" s="1353"/>
      <c r="H29" s="1353"/>
      <c r="I29" s="1353"/>
      <c r="J29" s="1353"/>
      <c r="K29" s="1353"/>
      <c r="L29" s="1353"/>
      <c r="M29" s="1353"/>
      <c r="N29" s="1353"/>
      <c r="O29" s="1353"/>
      <c r="P29" s="1353"/>
      <c r="Q29" s="1354"/>
      <c r="R29" s="42"/>
      <c r="S29" s="271"/>
      <c r="T29" s="31"/>
      <c r="U29" s="411">
        <f>Cover!BU37</f>
        <v>23</v>
      </c>
      <c r="V29" s="1353" t="str">
        <f>Cover!BX37</f>
        <v>Other</v>
      </c>
      <c r="W29" s="1353"/>
      <c r="X29" s="1353"/>
      <c r="Y29" s="1353"/>
      <c r="Z29" s="1353"/>
      <c r="AA29" s="1353"/>
      <c r="AB29" s="1353"/>
      <c r="AC29" s="1353"/>
      <c r="AD29" s="1353"/>
      <c r="AE29" s="1353"/>
      <c r="AF29" s="1353"/>
      <c r="AG29" s="1353"/>
      <c r="AH29" s="1353"/>
      <c r="AI29" s="1353"/>
      <c r="AJ29" s="1353"/>
      <c r="AK29" s="1353"/>
      <c r="AL29" s="1353"/>
      <c r="AM29" s="1353"/>
      <c r="AN29" s="1354"/>
    </row>
    <row r="30" spans="1:40" ht="3" customHeight="1" thickBot="1">
      <c r="A30" s="61"/>
      <c r="B30" s="269"/>
      <c r="C30" s="269"/>
      <c r="D30" s="260"/>
      <c r="E30" s="260"/>
      <c r="F30" s="260"/>
      <c r="G30" s="260"/>
      <c r="H30" s="260"/>
      <c r="I30" s="260"/>
      <c r="J30" s="260"/>
      <c r="K30" s="260"/>
      <c r="L30" s="260"/>
      <c r="M30" s="260"/>
      <c r="N30" s="260"/>
      <c r="O30" s="260"/>
      <c r="P30" s="260"/>
      <c r="Q30" s="262"/>
      <c r="R30" s="269"/>
      <c r="S30" s="269"/>
      <c r="T30" s="269"/>
      <c r="U30" s="112"/>
      <c r="V30" s="260"/>
      <c r="W30" s="260"/>
      <c r="X30" s="260"/>
      <c r="Y30" s="260"/>
      <c r="Z30" s="260"/>
      <c r="AA30" s="260"/>
      <c r="AB30" s="260"/>
      <c r="AC30" s="260"/>
      <c r="AD30" s="260"/>
      <c r="AE30" s="260"/>
      <c r="AF30" s="260"/>
      <c r="AG30" s="260"/>
      <c r="AH30" s="260"/>
      <c r="AI30" s="260"/>
      <c r="AJ30" s="260"/>
      <c r="AK30" s="260"/>
      <c r="AL30" s="260"/>
      <c r="AM30" s="260"/>
      <c r="AN30" s="262"/>
    </row>
    <row r="31" spans="1:40" ht="3" customHeight="1" thickBot="1"/>
    <row r="32" spans="1:40" ht="16.5">
      <c r="A32" s="919" t="str">
        <f>Content!A4</f>
        <v>Supplier/Production plant:</v>
      </c>
      <c r="B32" s="920"/>
      <c r="C32" s="920"/>
      <c r="D32" s="920"/>
      <c r="E32" s="920"/>
      <c r="F32" s="920"/>
      <c r="G32" s="920"/>
      <c r="H32" s="920"/>
      <c r="I32" s="920"/>
      <c r="J32" s="920"/>
      <c r="K32" s="923">
        <f>Cover!H41</f>
        <v>0</v>
      </c>
      <c r="L32" s="923"/>
      <c r="M32" s="923"/>
      <c r="N32" s="923"/>
      <c r="O32" s="923"/>
      <c r="P32" s="923"/>
      <c r="Q32" s="924"/>
      <c r="R32" s="919" t="str">
        <f>Content!Q4</f>
        <v>Customer:</v>
      </c>
      <c r="S32" s="920"/>
      <c r="T32" s="920"/>
      <c r="U32" s="920"/>
      <c r="V32" s="920"/>
      <c r="W32" s="920"/>
      <c r="X32" s="920"/>
      <c r="Y32" s="923">
        <f>Cover!CP41</f>
        <v>0</v>
      </c>
      <c r="Z32" s="923"/>
      <c r="AA32" s="923"/>
      <c r="AB32" s="923"/>
      <c r="AC32" s="923"/>
      <c r="AD32" s="923"/>
      <c r="AE32" s="923"/>
      <c r="AF32" s="923"/>
      <c r="AG32" s="923"/>
      <c r="AH32" s="923"/>
      <c r="AI32" s="923"/>
      <c r="AJ32" s="923"/>
      <c r="AK32" s="923"/>
      <c r="AL32" s="923"/>
      <c r="AM32" s="923"/>
      <c r="AN32" s="924"/>
    </row>
    <row r="33" spans="1:77" ht="16.5" customHeight="1">
      <c r="A33" s="1176" t="str">
        <f>Content!A5</f>
        <v>ID number / DUNS:</v>
      </c>
      <c r="B33" s="1177"/>
      <c r="C33" s="1177"/>
      <c r="D33" s="1177"/>
      <c r="E33" s="1177"/>
      <c r="F33" s="1177"/>
      <c r="G33" s="1177"/>
      <c r="H33" s="1177"/>
      <c r="I33" s="925">
        <f>Cover!AM41</f>
        <v>0</v>
      </c>
      <c r="J33" s="925"/>
      <c r="K33" s="925"/>
      <c r="L33" s="925"/>
      <c r="M33" s="925"/>
      <c r="N33" s="925"/>
      <c r="O33" s="925"/>
      <c r="P33" s="925"/>
      <c r="Q33" s="926"/>
      <c r="R33" s="1176" t="str">
        <f>Content!Q5</f>
        <v>ID number:</v>
      </c>
      <c r="S33" s="1177"/>
      <c r="T33" s="1177"/>
      <c r="U33" s="1177"/>
      <c r="V33" s="1177"/>
      <c r="W33" s="1177"/>
      <c r="X33" s="1177"/>
      <c r="Y33" s="925"/>
      <c r="Z33" s="925"/>
      <c r="AA33" s="925"/>
      <c r="AB33" s="925"/>
      <c r="AC33" s="925"/>
      <c r="AD33" s="925"/>
      <c r="AE33" s="925"/>
      <c r="AF33" s="925"/>
      <c r="AG33" s="925"/>
      <c r="AH33" s="925"/>
      <c r="AI33" s="925"/>
      <c r="AJ33" s="925"/>
      <c r="AK33" s="925"/>
      <c r="AL33" s="925"/>
      <c r="AM33" s="925"/>
      <c r="AN33" s="926"/>
    </row>
    <row r="34" spans="1:77" ht="16.5" customHeight="1">
      <c r="A34" s="1176" t="str">
        <f>Content!A6</f>
        <v>Report No.:</v>
      </c>
      <c r="B34" s="1177"/>
      <c r="C34" s="1177"/>
      <c r="D34" s="1177"/>
      <c r="E34" s="1177"/>
      <c r="F34" s="1177"/>
      <c r="G34" s="925">
        <f>Cover!CP42</f>
        <v>0</v>
      </c>
      <c r="H34" s="925"/>
      <c r="I34" s="925"/>
      <c r="J34" s="925"/>
      <c r="K34" s="925"/>
      <c r="L34" s="1122" t="s">
        <v>69</v>
      </c>
      <c r="M34" s="1122"/>
      <c r="N34" s="927"/>
      <c r="O34" s="927"/>
      <c r="P34" s="927"/>
      <c r="Q34" s="928"/>
      <c r="R34" s="1176" t="str">
        <f>Content!Q6</f>
        <v>Report No.:</v>
      </c>
      <c r="S34" s="1177"/>
      <c r="T34" s="1177"/>
      <c r="U34" s="1177"/>
      <c r="V34" s="1177"/>
      <c r="W34" s="1177"/>
      <c r="X34" s="1177"/>
      <c r="Y34" s="925"/>
      <c r="Z34" s="925"/>
      <c r="AA34" s="925"/>
      <c r="AB34" s="925"/>
      <c r="AC34" s="925"/>
      <c r="AD34" s="925"/>
      <c r="AE34" s="925"/>
      <c r="AF34" s="925"/>
      <c r="AG34" s="925"/>
      <c r="AH34" s="1122" t="s">
        <v>69</v>
      </c>
      <c r="AI34" s="1122"/>
      <c r="AJ34" s="1122"/>
      <c r="AK34" s="927"/>
      <c r="AL34" s="927"/>
      <c r="AM34" s="927"/>
      <c r="AN34" s="928"/>
    </row>
    <row r="35" spans="1:77" ht="16.5" customHeight="1">
      <c r="A35" s="1009" t="str">
        <f>Content!A7</f>
        <v>Part description:</v>
      </c>
      <c r="B35" s="1010"/>
      <c r="C35" s="1010"/>
      <c r="D35" s="1010"/>
      <c r="E35" s="1010"/>
      <c r="F35" s="1010"/>
      <c r="G35" s="938">
        <f>Cover!G42</f>
        <v>0</v>
      </c>
      <c r="H35" s="938"/>
      <c r="I35" s="938"/>
      <c r="J35" s="938"/>
      <c r="K35" s="938"/>
      <c r="L35" s="938"/>
      <c r="M35" s="938"/>
      <c r="N35" s="938"/>
      <c r="O35" s="938"/>
      <c r="P35" s="938"/>
      <c r="Q35" s="939"/>
      <c r="R35" s="1009" t="str">
        <f>Content!A7</f>
        <v>Part description:</v>
      </c>
      <c r="S35" s="1010"/>
      <c r="T35" s="1010"/>
      <c r="U35" s="1010"/>
      <c r="V35" s="1010"/>
      <c r="W35" s="1010"/>
      <c r="X35" s="1010"/>
      <c r="Y35" s="938"/>
      <c r="Z35" s="938"/>
      <c r="AA35" s="938"/>
      <c r="AB35" s="938"/>
      <c r="AC35" s="938"/>
      <c r="AD35" s="938"/>
      <c r="AE35" s="938"/>
      <c r="AF35" s="938"/>
      <c r="AG35" s="938"/>
      <c r="AH35" s="938"/>
      <c r="AI35" s="938"/>
      <c r="AJ35" s="938"/>
      <c r="AK35" s="938"/>
      <c r="AL35" s="938"/>
      <c r="AM35" s="938"/>
      <c r="AN35" s="939"/>
    </row>
    <row r="36" spans="1:77" ht="16.5" customHeight="1">
      <c r="A36" s="1012" t="str">
        <f>Cover!B43</f>
        <v>Part number:</v>
      </c>
      <c r="B36" s="1013"/>
      <c r="C36" s="1013"/>
      <c r="D36" s="1013"/>
      <c r="E36" s="1013"/>
      <c r="F36" s="1013"/>
      <c r="G36" s="1119">
        <f>Cover!G43</f>
        <v>0</v>
      </c>
      <c r="H36" s="1119"/>
      <c r="I36" s="1119"/>
      <c r="J36" s="1119"/>
      <c r="K36" s="1119"/>
      <c r="L36" s="1119"/>
      <c r="M36" s="1119"/>
      <c r="N36" s="1119"/>
      <c r="O36" s="1119"/>
      <c r="P36" s="1119"/>
      <c r="Q36" s="1120"/>
      <c r="R36" s="1012" t="str">
        <f>A36</f>
        <v>Part number:</v>
      </c>
      <c r="S36" s="1013"/>
      <c r="T36" s="1013"/>
      <c r="U36" s="1013"/>
      <c r="V36" s="1013"/>
      <c r="W36" s="1013"/>
      <c r="X36" s="1013"/>
      <c r="Y36" s="1119"/>
      <c r="Z36" s="1119"/>
      <c r="AA36" s="1119"/>
      <c r="AB36" s="1119"/>
      <c r="AC36" s="1119"/>
      <c r="AD36" s="1119"/>
      <c r="AE36" s="1119"/>
      <c r="AF36" s="1119"/>
      <c r="AG36" s="1119"/>
      <c r="AH36" s="1119"/>
      <c r="AI36" s="1119"/>
      <c r="AJ36" s="1119"/>
      <c r="AK36" s="1119"/>
      <c r="AL36" s="1119"/>
      <c r="AM36" s="1119"/>
      <c r="AN36" s="1120"/>
    </row>
    <row r="37" spans="1:77" ht="16.5" customHeight="1">
      <c r="A37" s="1012" t="str">
        <f>Content!Q7</f>
        <v>Drawing number:</v>
      </c>
      <c r="B37" s="1013"/>
      <c r="C37" s="1013"/>
      <c r="D37" s="1013"/>
      <c r="E37" s="1013"/>
      <c r="F37" s="1013"/>
      <c r="G37" s="1013"/>
      <c r="H37" s="1119">
        <f>Cover!G44</f>
        <v>0</v>
      </c>
      <c r="I37" s="1119"/>
      <c r="J37" s="1119"/>
      <c r="K37" s="1119"/>
      <c r="L37" s="1119"/>
      <c r="M37" s="1119"/>
      <c r="N37" s="1119"/>
      <c r="O37" s="1119"/>
      <c r="P37" s="1119"/>
      <c r="Q37" s="1120"/>
      <c r="R37" s="1012" t="str">
        <f>Content!Q7</f>
        <v>Drawing number:</v>
      </c>
      <c r="S37" s="1013"/>
      <c r="T37" s="1013"/>
      <c r="U37" s="1013"/>
      <c r="V37" s="1013"/>
      <c r="W37" s="1013"/>
      <c r="X37" s="1013"/>
      <c r="Y37" s="1013"/>
      <c r="Z37" s="1013"/>
      <c r="AA37" s="1119"/>
      <c r="AB37" s="1119"/>
      <c r="AC37" s="1119"/>
      <c r="AD37" s="1119"/>
      <c r="AE37" s="1119"/>
      <c r="AF37" s="1119"/>
      <c r="AG37" s="1119"/>
      <c r="AH37" s="1119"/>
      <c r="AI37" s="1119"/>
      <c r="AJ37" s="1119"/>
      <c r="AK37" s="1119"/>
      <c r="AL37" s="1119"/>
      <c r="AM37" s="1119"/>
      <c r="AN37" s="1120"/>
    </row>
    <row r="38" spans="1:77" ht="16.5" customHeight="1" thickBot="1">
      <c r="A38" s="1175" t="str">
        <f>Content!Q8</f>
        <v>Issue / Date:</v>
      </c>
      <c r="B38" s="900"/>
      <c r="C38" s="900"/>
      <c r="D38" s="900"/>
      <c r="E38" s="900"/>
      <c r="F38" s="900"/>
      <c r="G38" s="940">
        <f>Cover!G45</f>
        <v>0</v>
      </c>
      <c r="H38" s="940"/>
      <c r="I38" s="940"/>
      <c r="J38" s="940"/>
      <c r="K38" s="940"/>
      <c r="L38" s="940"/>
      <c r="M38" s="940"/>
      <c r="N38" s="940"/>
      <c r="O38" s="940"/>
      <c r="P38" s="940"/>
      <c r="Q38" s="941"/>
      <c r="R38" s="1175" t="str">
        <f>Content!Q8</f>
        <v>Issue / Date:</v>
      </c>
      <c r="S38" s="900"/>
      <c r="T38" s="900"/>
      <c r="U38" s="900"/>
      <c r="V38" s="900"/>
      <c r="W38" s="900"/>
      <c r="X38" s="900"/>
      <c r="Y38" s="940"/>
      <c r="Z38" s="940"/>
      <c r="AA38" s="940"/>
      <c r="AB38" s="940"/>
      <c r="AC38" s="940"/>
      <c r="AD38" s="940"/>
      <c r="AE38" s="940"/>
      <c r="AF38" s="940"/>
      <c r="AG38" s="940"/>
      <c r="AH38" s="940"/>
      <c r="AI38" s="940"/>
      <c r="AJ38" s="940"/>
      <c r="AK38" s="940"/>
      <c r="AL38" s="940"/>
      <c r="AM38" s="940"/>
      <c r="AN38" s="941"/>
    </row>
    <row r="39" spans="1:77" s="113" customFormat="1" ht="3" customHeight="1" thickBot="1">
      <c r="A39" s="130"/>
      <c r="B39" s="130"/>
      <c r="C39" s="130"/>
      <c r="D39" s="130"/>
      <c r="E39" s="130"/>
      <c r="F39" s="130"/>
      <c r="G39" s="131"/>
      <c r="H39" s="131"/>
      <c r="I39" s="131"/>
      <c r="J39" s="131"/>
      <c r="K39" s="131"/>
      <c r="L39" s="131"/>
      <c r="M39" s="131"/>
      <c r="N39" s="131"/>
      <c r="O39" s="131"/>
      <c r="P39" s="131"/>
      <c r="Q39" s="131"/>
      <c r="R39" s="130"/>
      <c r="S39" s="130"/>
      <c r="T39" s="130"/>
      <c r="U39" s="130"/>
      <c r="V39" s="130"/>
      <c r="W39" s="130"/>
      <c r="X39" s="130"/>
      <c r="Y39" s="131"/>
      <c r="Z39" s="131"/>
      <c r="AA39" s="131"/>
      <c r="AB39" s="131"/>
      <c r="AC39" s="131"/>
      <c r="AD39" s="131"/>
      <c r="AE39" s="131"/>
      <c r="AF39" s="131"/>
      <c r="AG39" s="131"/>
      <c r="AH39" s="131"/>
      <c r="AI39" s="131"/>
      <c r="AJ39" s="131"/>
      <c r="AK39" s="131"/>
      <c r="AL39" s="131"/>
      <c r="AM39" s="131"/>
      <c r="AN39" s="131"/>
    </row>
    <row r="40" spans="1:77" ht="48" customHeight="1" thickBot="1">
      <c r="A40" s="1349" t="str">
        <f>VLOOKUP("nr",Translations!$A:$T,MATCH(Cover!DR19,Translations!A2:P2,0),0)</f>
        <v>No.</v>
      </c>
      <c r="B40" s="1332"/>
      <c r="C40" s="1332"/>
      <c r="D40" s="1350"/>
      <c r="E40" s="1351" t="str">
        <f>VLOOKUP("bezeichnung",Translations!$A:$T,MATCH(Cover!DR19,Translations!A2:P2,0),0)</f>
        <v>Name of measurement instrument / device</v>
      </c>
      <c r="F40" s="1332"/>
      <c r="G40" s="1332"/>
      <c r="H40" s="1332"/>
      <c r="I40" s="1332"/>
      <c r="J40" s="1332"/>
      <c r="K40" s="1332"/>
      <c r="L40" s="1332"/>
      <c r="M40" s="1350"/>
      <c r="N40" s="1351" t="str">
        <f>VLOOKUP("messbereich",Translations!$A:$T,MATCH(Cover!DR19,Translations!A2:P2,0),0)</f>
        <v>Range of measurement</v>
      </c>
      <c r="O40" s="1332"/>
      <c r="P40" s="1332"/>
      <c r="Q40" s="1332"/>
      <c r="R40" s="1332"/>
      <c r="S40" s="1332"/>
      <c r="T40" s="1332"/>
      <c r="U40" s="1332"/>
      <c r="V40" s="1332"/>
      <c r="W40" s="1332"/>
      <c r="X40" s="1332"/>
      <c r="Y40" s="1350"/>
      <c r="Z40" s="1351" t="str">
        <f>VLOOKUP("prüfmittelnummer",Translations!$A:$T,MATCH(Cover!DR19,Translations!A2:P2,0),0)</f>
        <v>No. of measurement instrument / device</v>
      </c>
      <c r="AA40" s="1332"/>
      <c r="AB40" s="1332"/>
      <c r="AC40" s="1332"/>
      <c r="AD40" s="1332"/>
      <c r="AE40" s="1332"/>
      <c r="AF40" s="1350"/>
      <c r="AG40" s="1332" t="str">
        <f>VLOOKUP("MSA durchgeführt (Ergebnis)",Translations!$A:$T,MATCH(Cover!DR19,Translations!A2:P2,0),0)</f>
        <v>MSA done
(result)</v>
      </c>
      <c r="AH40" s="1332"/>
      <c r="AI40" s="1332"/>
      <c r="AJ40" s="1332"/>
      <c r="AK40" s="1332"/>
      <c r="AL40" s="1332"/>
      <c r="AM40" s="1332"/>
      <c r="AN40" s="1333"/>
    </row>
    <row r="41" spans="1:77" ht="26.25" customHeight="1">
      <c r="A41" s="1347"/>
      <c r="B41" s="1345"/>
      <c r="C41" s="1345"/>
      <c r="D41" s="1348"/>
      <c r="E41" s="1344"/>
      <c r="F41" s="1345"/>
      <c r="G41" s="1345"/>
      <c r="H41" s="1345"/>
      <c r="I41" s="1345"/>
      <c r="J41" s="1345"/>
      <c r="K41" s="1345"/>
      <c r="L41" s="1345"/>
      <c r="M41" s="1348"/>
      <c r="N41" s="1334"/>
      <c r="O41" s="1335"/>
      <c r="P41" s="1335"/>
      <c r="Q41" s="1335"/>
      <c r="R41" s="1335"/>
      <c r="S41" s="1335"/>
      <c r="T41" s="1335"/>
      <c r="U41" s="1335"/>
      <c r="V41" s="1335"/>
      <c r="W41" s="1335"/>
      <c r="X41" s="1335"/>
      <c r="Y41" s="1336"/>
      <c r="Z41" s="1334"/>
      <c r="AA41" s="1335"/>
      <c r="AB41" s="1335"/>
      <c r="AC41" s="1335"/>
      <c r="AD41" s="1335"/>
      <c r="AE41" s="1335"/>
      <c r="AF41" s="1336"/>
      <c r="AG41" s="1344"/>
      <c r="AH41" s="1345"/>
      <c r="AI41" s="1345"/>
      <c r="AJ41" s="1345"/>
      <c r="AK41" s="1345"/>
      <c r="AL41" s="1345"/>
      <c r="AM41" s="1345"/>
      <c r="AN41" s="1346"/>
      <c r="AP41" s="82"/>
      <c r="AQ41" s="82"/>
      <c r="AR41" s="82"/>
      <c r="AS41" s="82"/>
      <c r="AT41" s="82"/>
      <c r="AU41" s="82"/>
      <c r="AV41" s="82"/>
      <c r="AW41" s="82"/>
      <c r="AX41" s="82"/>
      <c r="AY41" s="82"/>
      <c r="AZ41" s="82"/>
      <c r="BA41" s="82"/>
      <c r="BB41" s="82"/>
      <c r="BC41" s="82"/>
      <c r="BD41" s="82"/>
      <c r="BE41" s="82"/>
      <c r="BF41" s="82"/>
      <c r="BG41" s="82"/>
      <c r="BH41" s="82"/>
      <c r="BI41" s="82"/>
      <c r="BJ41" s="82"/>
      <c r="BK41" s="82"/>
      <c r="BL41" s="82"/>
      <c r="BM41" s="82"/>
      <c r="BN41" s="82"/>
      <c r="BO41" s="82"/>
      <c r="BP41" s="82"/>
      <c r="BQ41" s="82"/>
      <c r="BR41" s="82"/>
      <c r="BS41" s="82"/>
      <c r="BT41" s="82"/>
      <c r="BU41" s="82"/>
      <c r="BV41" s="82"/>
      <c r="BW41" s="82"/>
      <c r="BX41" s="82"/>
      <c r="BY41" s="82"/>
    </row>
    <row r="42" spans="1:77" ht="26.25" customHeight="1">
      <c r="A42" s="1337"/>
      <c r="B42" s="1338"/>
      <c r="C42" s="1338"/>
      <c r="D42" s="1339"/>
      <c r="E42" s="1340"/>
      <c r="F42" s="1338"/>
      <c r="G42" s="1338"/>
      <c r="H42" s="1338"/>
      <c r="I42" s="1338"/>
      <c r="J42" s="1338"/>
      <c r="K42" s="1338"/>
      <c r="L42" s="1338"/>
      <c r="M42" s="1339"/>
      <c r="N42" s="1341"/>
      <c r="O42" s="1342"/>
      <c r="P42" s="1342"/>
      <c r="Q42" s="1342"/>
      <c r="R42" s="1342"/>
      <c r="S42" s="1342"/>
      <c r="T42" s="1342"/>
      <c r="U42" s="1342"/>
      <c r="V42" s="1342"/>
      <c r="W42" s="1342"/>
      <c r="X42" s="1342"/>
      <c r="Y42" s="1343"/>
      <c r="Z42" s="1341"/>
      <c r="AA42" s="1342"/>
      <c r="AB42" s="1342"/>
      <c r="AC42" s="1342"/>
      <c r="AD42" s="1342"/>
      <c r="AE42" s="1342"/>
      <c r="AF42" s="1343"/>
      <c r="AG42" s="1340"/>
      <c r="AH42" s="1338"/>
      <c r="AI42" s="1338"/>
      <c r="AJ42" s="1338"/>
      <c r="AK42" s="1338"/>
      <c r="AL42" s="1338"/>
      <c r="AM42" s="1338"/>
      <c r="AN42" s="1352"/>
    </row>
    <row r="43" spans="1:77" ht="26.25" customHeight="1">
      <c r="A43" s="1337"/>
      <c r="B43" s="1338"/>
      <c r="C43" s="1338"/>
      <c r="D43" s="1339"/>
      <c r="E43" s="1340"/>
      <c r="F43" s="1338"/>
      <c r="G43" s="1338"/>
      <c r="H43" s="1338"/>
      <c r="I43" s="1338"/>
      <c r="J43" s="1338"/>
      <c r="K43" s="1338"/>
      <c r="L43" s="1338"/>
      <c r="M43" s="1339"/>
      <c r="N43" s="1341"/>
      <c r="O43" s="1342"/>
      <c r="P43" s="1342"/>
      <c r="Q43" s="1342"/>
      <c r="R43" s="1342"/>
      <c r="S43" s="1342"/>
      <c r="T43" s="1342"/>
      <c r="U43" s="1342"/>
      <c r="V43" s="1342"/>
      <c r="W43" s="1342"/>
      <c r="X43" s="1342"/>
      <c r="Y43" s="1343"/>
      <c r="Z43" s="1341"/>
      <c r="AA43" s="1342"/>
      <c r="AB43" s="1342"/>
      <c r="AC43" s="1342"/>
      <c r="AD43" s="1342"/>
      <c r="AE43" s="1342"/>
      <c r="AF43" s="1343"/>
      <c r="AG43" s="1340"/>
      <c r="AH43" s="1338"/>
      <c r="AI43" s="1338"/>
      <c r="AJ43" s="1338"/>
      <c r="AK43" s="1338"/>
      <c r="AL43" s="1338"/>
      <c r="AM43" s="1338"/>
      <c r="AN43" s="1352"/>
    </row>
    <row r="44" spans="1:77" ht="26.25" customHeight="1">
      <c r="A44" s="1337"/>
      <c r="B44" s="1338"/>
      <c r="C44" s="1338"/>
      <c r="D44" s="1339"/>
      <c r="E44" s="1340"/>
      <c r="F44" s="1338"/>
      <c r="G44" s="1338"/>
      <c r="H44" s="1338"/>
      <c r="I44" s="1338"/>
      <c r="J44" s="1338"/>
      <c r="K44" s="1338"/>
      <c r="L44" s="1338"/>
      <c r="M44" s="1339"/>
      <c r="N44" s="1341"/>
      <c r="O44" s="1342"/>
      <c r="P44" s="1342"/>
      <c r="Q44" s="1342"/>
      <c r="R44" s="1342"/>
      <c r="S44" s="1342"/>
      <c r="T44" s="1342"/>
      <c r="U44" s="1342"/>
      <c r="V44" s="1342"/>
      <c r="W44" s="1342"/>
      <c r="X44" s="1342"/>
      <c r="Y44" s="1343"/>
      <c r="Z44" s="1341"/>
      <c r="AA44" s="1342"/>
      <c r="AB44" s="1342"/>
      <c r="AC44" s="1342"/>
      <c r="AD44" s="1342"/>
      <c r="AE44" s="1342"/>
      <c r="AF44" s="1343"/>
      <c r="AG44" s="1340"/>
      <c r="AH44" s="1338"/>
      <c r="AI44" s="1338"/>
      <c r="AJ44" s="1338"/>
      <c r="AK44" s="1338"/>
      <c r="AL44" s="1338"/>
      <c r="AM44" s="1338"/>
      <c r="AN44" s="1352"/>
    </row>
    <row r="45" spans="1:77" ht="26.25" customHeight="1">
      <c r="A45" s="1337"/>
      <c r="B45" s="1338"/>
      <c r="C45" s="1338"/>
      <c r="D45" s="1339"/>
      <c r="E45" s="1340"/>
      <c r="F45" s="1338"/>
      <c r="G45" s="1338"/>
      <c r="H45" s="1338"/>
      <c r="I45" s="1338"/>
      <c r="J45" s="1338"/>
      <c r="K45" s="1338"/>
      <c r="L45" s="1338"/>
      <c r="M45" s="1339"/>
      <c r="N45" s="1341"/>
      <c r="O45" s="1342"/>
      <c r="P45" s="1342"/>
      <c r="Q45" s="1342"/>
      <c r="R45" s="1342"/>
      <c r="S45" s="1342"/>
      <c r="T45" s="1342"/>
      <c r="U45" s="1342"/>
      <c r="V45" s="1342"/>
      <c r="W45" s="1342"/>
      <c r="X45" s="1342"/>
      <c r="Y45" s="1343"/>
      <c r="Z45" s="1341"/>
      <c r="AA45" s="1342"/>
      <c r="AB45" s="1342"/>
      <c r="AC45" s="1342"/>
      <c r="AD45" s="1342"/>
      <c r="AE45" s="1342"/>
      <c r="AF45" s="1343"/>
      <c r="AG45" s="1340"/>
      <c r="AH45" s="1338"/>
      <c r="AI45" s="1338"/>
      <c r="AJ45" s="1338"/>
      <c r="AK45" s="1338"/>
      <c r="AL45" s="1338"/>
      <c r="AM45" s="1338"/>
      <c r="AN45" s="1352"/>
    </row>
    <row r="46" spans="1:77" ht="26.25" customHeight="1">
      <c r="A46" s="1337"/>
      <c r="B46" s="1338"/>
      <c r="C46" s="1338"/>
      <c r="D46" s="1339"/>
      <c r="E46" s="1340"/>
      <c r="F46" s="1338"/>
      <c r="G46" s="1338"/>
      <c r="H46" s="1338"/>
      <c r="I46" s="1338"/>
      <c r="J46" s="1338"/>
      <c r="K46" s="1338"/>
      <c r="L46" s="1338"/>
      <c r="M46" s="1339"/>
      <c r="N46" s="1341"/>
      <c r="O46" s="1342"/>
      <c r="P46" s="1342"/>
      <c r="Q46" s="1342"/>
      <c r="R46" s="1342"/>
      <c r="S46" s="1342"/>
      <c r="T46" s="1342"/>
      <c r="U46" s="1342"/>
      <c r="V46" s="1342"/>
      <c r="W46" s="1342"/>
      <c r="X46" s="1342"/>
      <c r="Y46" s="1343"/>
      <c r="Z46" s="1341"/>
      <c r="AA46" s="1342"/>
      <c r="AB46" s="1342"/>
      <c r="AC46" s="1342"/>
      <c r="AD46" s="1342"/>
      <c r="AE46" s="1342"/>
      <c r="AF46" s="1343"/>
      <c r="AG46" s="1340"/>
      <c r="AH46" s="1338"/>
      <c r="AI46" s="1338"/>
      <c r="AJ46" s="1338"/>
      <c r="AK46" s="1338"/>
      <c r="AL46" s="1338"/>
      <c r="AM46" s="1338"/>
      <c r="AN46" s="1352"/>
    </row>
    <row r="47" spans="1:77" ht="26.25" customHeight="1">
      <c r="A47" s="1337"/>
      <c r="B47" s="1338"/>
      <c r="C47" s="1338"/>
      <c r="D47" s="1339"/>
      <c r="E47" s="1340"/>
      <c r="F47" s="1338"/>
      <c r="G47" s="1338"/>
      <c r="H47" s="1338"/>
      <c r="I47" s="1338"/>
      <c r="J47" s="1338"/>
      <c r="K47" s="1338"/>
      <c r="L47" s="1338"/>
      <c r="M47" s="1339"/>
      <c r="N47" s="1341"/>
      <c r="O47" s="1342"/>
      <c r="P47" s="1342"/>
      <c r="Q47" s="1342"/>
      <c r="R47" s="1342"/>
      <c r="S47" s="1342"/>
      <c r="T47" s="1342"/>
      <c r="U47" s="1342"/>
      <c r="V47" s="1342"/>
      <c r="W47" s="1342"/>
      <c r="X47" s="1342"/>
      <c r="Y47" s="1343"/>
      <c r="Z47" s="1341"/>
      <c r="AA47" s="1342"/>
      <c r="AB47" s="1342"/>
      <c r="AC47" s="1342"/>
      <c r="AD47" s="1342"/>
      <c r="AE47" s="1342"/>
      <c r="AF47" s="1343"/>
      <c r="AG47" s="1340"/>
      <c r="AH47" s="1338"/>
      <c r="AI47" s="1338"/>
      <c r="AJ47" s="1338"/>
      <c r="AK47" s="1338"/>
      <c r="AL47" s="1338"/>
      <c r="AM47" s="1338"/>
      <c r="AN47" s="1352"/>
    </row>
    <row r="48" spans="1:77" ht="26.25" customHeight="1">
      <c r="A48" s="1337"/>
      <c r="B48" s="1338"/>
      <c r="C48" s="1338"/>
      <c r="D48" s="1339"/>
      <c r="E48" s="1340"/>
      <c r="F48" s="1338"/>
      <c r="G48" s="1338"/>
      <c r="H48" s="1338"/>
      <c r="I48" s="1338"/>
      <c r="J48" s="1338"/>
      <c r="K48" s="1338"/>
      <c r="L48" s="1338"/>
      <c r="M48" s="1339"/>
      <c r="N48" s="1341"/>
      <c r="O48" s="1342"/>
      <c r="P48" s="1342"/>
      <c r="Q48" s="1342"/>
      <c r="R48" s="1342"/>
      <c r="S48" s="1342"/>
      <c r="T48" s="1342"/>
      <c r="U48" s="1342"/>
      <c r="V48" s="1342"/>
      <c r="W48" s="1342"/>
      <c r="X48" s="1342"/>
      <c r="Y48" s="1343"/>
      <c r="Z48" s="1341"/>
      <c r="AA48" s="1342"/>
      <c r="AB48" s="1342"/>
      <c r="AC48" s="1342"/>
      <c r="AD48" s="1342"/>
      <c r="AE48" s="1342"/>
      <c r="AF48" s="1343"/>
      <c r="AG48" s="1340"/>
      <c r="AH48" s="1338"/>
      <c r="AI48" s="1338"/>
      <c r="AJ48" s="1338"/>
      <c r="AK48" s="1338"/>
      <c r="AL48" s="1338"/>
      <c r="AM48" s="1338"/>
      <c r="AN48" s="1352"/>
    </row>
    <row r="49" spans="1:50" ht="26.25" customHeight="1">
      <c r="A49" s="1337"/>
      <c r="B49" s="1338"/>
      <c r="C49" s="1338"/>
      <c r="D49" s="1339"/>
      <c r="E49" s="1340"/>
      <c r="F49" s="1338"/>
      <c r="G49" s="1338"/>
      <c r="H49" s="1338"/>
      <c r="I49" s="1338"/>
      <c r="J49" s="1338"/>
      <c r="K49" s="1338"/>
      <c r="L49" s="1338"/>
      <c r="M49" s="1339"/>
      <c r="N49" s="1341"/>
      <c r="O49" s="1342"/>
      <c r="P49" s="1342"/>
      <c r="Q49" s="1342"/>
      <c r="R49" s="1342"/>
      <c r="S49" s="1342"/>
      <c r="T49" s="1342"/>
      <c r="U49" s="1342"/>
      <c r="V49" s="1342"/>
      <c r="W49" s="1342"/>
      <c r="X49" s="1342"/>
      <c r="Y49" s="1343"/>
      <c r="Z49" s="1341"/>
      <c r="AA49" s="1342"/>
      <c r="AB49" s="1342"/>
      <c r="AC49" s="1342"/>
      <c r="AD49" s="1342"/>
      <c r="AE49" s="1342"/>
      <c r="AF49" s="1343"/>
      <c r="AG49" s="1340"/>
      <c r="AH49" s="1338"/>
      <c r="AI49" s="1338"/>
      <c r="AJ49" s="1338"/>
      <c r="AK49" s="1338"/>
      <c r="AL49" s="1338"/>
      <c r="AM49" s="1338"/>
      <c r="AN49" s="1352"/>
    </row>
    <row r="50" spans="1:50" ht="26.25" customHeight="1">
      <c r="A50" s="1337"/>
      <c r="B50" s="1338"/>
      <c r="C50" s="1338"/>
      <c r="D50" s="1339"/>
      <c r="E50" s="1340"/>
      <c r="F50" s="1338"/>
      <c r="G50" s="1338"/>
      <c r="H50" s="1338"/>
      <c r="I50" s="1338"/>
      <c r="J50" s="1338"/>
      <c r="K50" s="1338"/>
      <c r="L50" s="1338"/>
      <c r="M50" s="1339"/>
      <c r="N50" s="1341"/>
      <c r="O50" s="1342"/>
      <c r="P50" s="1342"/>
      <c r="Q50" s="1342"/>
      <c r="R50" s="1342"/>
      <c r="S50" s="1342"/>
      <c r="T50" s="1342"/>
      <c r="U50" s="1342"/>
      <c r="V50" s="1342"/>
      <c r="W50" s="1342"/>
      <c r="X50" s="1342"/>
      <c r="Y50" s="1343"/>
      <c r="Z50" s="1341"/>
      <c r="AA50" s="1342"/>
      <c r="AB50" s="1342"/>
      <c r="AC50" s="1342"/>
      <c r="AD50" s="1342"/>
      <c r="AE50" s="1342"/>
      <c r="AF50" s="1343"/>
      <c r="AG50" s="1340"/>
      <c r="AH50" s="1338"/>
      <c r="AI50" s="1338"/>
      <c r="AJ50" s="1338"/>
      <c r="AK50" s="1338"/>
      <c r="AL50" s="1338"/>
      <c r="AM50" s="1338"/>
      <c r="AN50" s="1352"/>
    </row>
    <row r="51" spans="1:50" ht="26.25" customHeight="1">
      <c r="A51" s="1337"/>
      <c r="B51" s="1338"/>
      <c r="C51" s="1338"/>
      <c r="D51" s="1339"/>
      <c r="E51" s="1340"/>
      <c r="F51" s="1338"/>
      <c r="G51" s="1338"/>
      <c r="H51" s="1338"/>
      <c r="I51" s="1338"/>
      <c r="J51" s="1338"/>
      <c r="K51" s="1338"/>
      <c r="L51" s="1338"/>
      <c r="M51" s="1339"/>
      <c r="N51" s="1341"/>
      <c r="O51" s="1342"/>
      <c r="P51" s="1342"/>
      <c r="Q51" s="1342"/>
      <c r="R51" s="1342"/>
      <c r="S51" s="1342"/>
      <c r="T51" s="1342"/>
      <c r="U51" s="1342"/>
      <c r="V51" s="1342"/>
      <c r="W51" s="1342"/>
      <c r="X51" s="1342"/>
      <c r="Y51" s="1343"/>
      <c r="Z51" s="1341"/>
      <c r="AA51" s="1342"/>
      <c r="AB51" s="1342"/>
      <c r="AC51" s="1342"/>
      <c r="AD51" s="1342"/>
      <c r="AE51" s="1342"/>
      <c r="AF51" s="1343"/>
      <c r="AG51" s="1340"/>
      <c r="AH51" s="1338"/>
      <c r="AI51" s="1338"/>
      <c r="AJ51" s="1338"/>
      <c r="AK51" s="1338"/>
      <c r="AL51" s="1338"/>
      <c r="AM51" s="1338"/>
      <c r="AN51" s="1352"/>
    </row>
    <row r="52" spans="1:50" ht="26.25" customHeight="1">
      <c r="A52" s="1337"/>
      <c r="B52" s="1338"/>
      <c r="C52" s="1338"/>
      <c r="D52" s="1339"/>
      <c r="E52" s="1340"/>
      <c r="F52" s="1338"/>
      <c r="G52" s="1338"/>
      <c r="H52" s="1338"/>
      <c r="I52" s="1338"/>
      <c r="J52" s="1338"/>
      <c r="K52" s="1338"/>
      <c r="L52" s="1338"/>
      <c r="M52" s="1339"/>
      <c r="N52" s="1341"/>
      <c r="O52" s="1342"/>
      <c r="P52" s="1342"/>
      <c r="Q52" s="1342"/>
      <c r="R52" s="1342"/>
      <c r="S52" s="1342"/>
      <c r="T52" s="1342"/>
      <c r="U52" s="1342"/>
      <c r="V52" s="1342"/>
      <c r="W52" s="1342"/>
      <c r="X52" s="1342"/>
      <c r="Y52" s="1343"/>
      <c r="Z52" s="1341"/>
      <c r="AA52" s="1342"/>
      <c r="AB52" s="1342"/>
      <c r="AC52" s="1342"/>
      <c r="AD52" s="1342"/>
      <c r="AE52" s="1342"/>
      <c r="AF52" s="1343"/>
      <c r="AG52" s="1340"/>
      <c r="AH52" s="1338"/>
      <c r="AI52" s="1338"/>
      <c r="AJ52" s="1338"/>
      <c r="AK52" s="1338"/>
      <c r="AL52" s="1338"/>
      <c r="AM52" s="1338"/>
      <c r="AN52" s="1352"/>
    </row>
    <row r="53" spans="1:50" ht="26.25" customHeight="1">
      <c r="A53" s="1337"/>
      <c r="B53" s="1338"/>
      <c r="C53" s="1338"/>
      <c r="D53" s="1339"/>
      <c r="E53" s="1340"/>
      <c r="F53" s="1338"/>
      <c r="G53" s="1338"/>
      <c r="H53" s="1338"/>
      <c r="I53" s="1338"/>
      <c r="J53" s="1338"/>
      <c r="K53" s="1338"/>
      <c r="L53" s="1338"/>
      <c r="M53" s="1339"/>
      <c r="N53" s="1341"/>
      <c r="O53" s="1342"/>
      <c r="P53" s="1342"/>
      <c r="Q53" s="1342"/>
      <c r="R53" s="1342"/>
      <c r="S53" s="1342"/>
      <c r="T53" s="1342"/>
      <c r="U53" s="1342"/>
      <c r="V53" s="1342"/>
      <c r="W53" s="1342"/>
      <c r="X53" s="1342"/>
      <c r="Y53" s="1343"/>
      <c r="Z53" s="1341"/>
      <c r="AA53" s="1342"/>
      <c r="AB53" s="1342"/>
      <c r="AC53" s="1342"/>
      <c r="AD53" s="1342"/>
      <c r="AE53" s="1342"/>
      <c r="AF53" s="1343"/>
      <c r="AG53" s="1340"/>
      <c r="AH53" s="1338"/>
      <c r="AI53" s="1338"/>
      <c r="AJ53" s="1338"/>
      <c r="AK53" s="1338"/>
      <c r="AL53" s="1338"/>
      <c r="AM53" s="1338"/>
      <c r="AN53" s="1352"/>
    </row>
    <row r="54" spans="1:50" s="78" customFormat="1" ht="26.25" customHeight="1">
      <c r="A54" s="1337"/>
      <c r="B54" s="1338"/>
      <c r="C54" s="1338"/>
      <c r="D54" s="1339"/>
      <c r="E54" s="1340"/>
      <c r="F54" s="1338"/>
      <c r="G54" s="1338"/>
      <c r="H54" s="1338"/>
      <c r="I54" s="1338"/>
      <c r="J54" s="1338"/>
      <c r="K54" s="1338"/>
      <c r="L54" s="1338"/>
      <c r="M54" s="1339"/>
      <c r="N54" s="1341"/>
      <c r="O54" s="1342"/>
      <c r="P54" s="1342"/>
      <c r="Q54" s="1342"/>
      <c r="R54" s="1342"/>
      <c r="S54" s="1342"/>
      <c r="T54" s="1342"/>
      <c r="U54" s="1342"/>
      <c r="V54" s="1342"/>
      <c r="W54" s="1342"/>
      <c r="X54" s="1342"/>
      <c r="Y54" s="1343"/>
      <c r="Z54" s="1341"/>
      <c r="AA54" s="1342"/>
      <c r="AB54" s="1342"/>
      <c r="AC54" s="1342"/>
      <c r="AD54" s="1342"/>
      <c r="AE54" s="1342"/>
      <c r="AF54" s="1343"/>
      <c r="AG54" s="1340"/>
      <c r="AH54" s="1338"/>
      <c r="AI54" s="1338"/>
      <c r="AJ54" s="1338"/>
      <c r="AK54" s="1338"/>
      <c r="AL54" s="1338"/>
      <c r="AM54" s="1338"/>
      <c r="AN54" s="1352"/>
    </row>
    <row r="55" spans="1:50" s="78" customFormat="1" ht="26.25" customHeight="1">
      <c r="A55" s="1337"/>
      <c r="B55" s="1338"/>
      <c r="C55" s="1338"/>
      <c r="D55" s="1339"/>
      <c r="E55" s="1340"/>
      <c r="F55" s="1338"/>
      <c r="G55" s="1338"/>
      <c r="H55" s="1338"/>
      <c r="I55" s="1338"/>
      <c r="J55" s="1338"/>
      <c r="K55" s="1338"/>
      <c r="L55" s="1338"/>
      <c r="M55" s="1339"/>
      <c r="N55" s="1341"/>
      <c r="O55" s="1342"/>
      <c r="P55" s="1342"/>
      <c r="Q55" s="1342"/>
      <c r="R55" s="1342"/>
      <c r="S55" s="1342"/>
      <c r="T55" s="1342"/>
      <c r="U55" s="1342"/>
      <c r="V55" s="1342"/>
      <c r="W55" s="1342"/>
      <c r="X55" s="1342"/>
      <c r="Y55" s="1343"/>
      <c r="Z55" s="1341"/>
      <c r="AA55" s="1342"/>
      <c r="AB55" s="1342"/>
      <c r="AC55" s="1342"/>
      <c r="AD55" s="1342"/>
      <c r="AE55" s="1342"/>
      <c r="AF55" s="1343"/>
      <c r="AG55" s="1340"/>
      <c r="AH55" s="1338"/>
      <c r="AI55" s="1338"/>
      <c r="AJ55" s="1338"/>
      <c r="AK55" s="1338"/>
      <c r="AL55" s="1338"/>
      <c r="AM55" s="1338"/>
      <c r="AN55" s="1352"/>
    </row>
    <row r="56" spans="1:50" ht="26.25" customHeight="1">
      <c r="A56" s="1337"/>
      <c r="B56" s="1338"/>
      <c r="C56" s="1338"/>
      <c r="D56" s="1339"/>
      <c r="E56" s="1340"/>
      <c r="F56" s="1338"/>
      <c r="G56" s="1338"/>
      <c r="H56" s="1338"/>
      <c r="I56" s="1338"/>
      <c r="J56" s="1338"/>
      <c r="K56" s="1338"/>
      <c r="L56" s="1338"/>
      <c r="M56" s="1339"/>
      <c r="N56" s="1341"/>
      <c r="O56" s="1342"/>
      <c r="P56" s="1342"/>
      <c r="Q56" s="1342"/>
      <c r="R56" s="1342"/>
      <c r="S56" s="1342"/>
      <c r="T56" s="1342"/>
      <c r="U56" s="1342"/>
      <c r="V56" s="1342"/>
      <c r="W56" s="1342"/>
      <c r="X56" s="1342"/>
      <c r="Y56" s="1343"/>
      <c r="Z56" s="1341"/>
      <c r="AA56" s="1342"/>
      <c r="AB56" s="1342"/>
      <c r="AC56" s="1342"/>
      <c r="AD56" s="1342"/>
      <c r="AE56" s="1342"/>
      <c r="AF56" s="1343"/>
      <c r="AG56" s="1340"/>
      <c r="AH56" s="1338"/>
      <c r="AI56" s="1338"/>
      <c r="AJ56" s="1338"/>
      <c r="AK56" s="1338"/>
      <c r="AL56" s="1338"/>
      <c r="AM56" s="1338"/>
      <c r="AN56" s="1352"/>
    </row>
    <row r="57" spans="1:50" ht="26.25" customHeight="1">
      <c r="A57" s="1337"/>
      <c r="B57" s="1338"/>
      <c r="C57" s="1338"/>
      <c r="D57" s="1339"/>
      <c r="E57" s="1340"/>
      <c r="F57" s="1338"/>
      <c r="G57" s="1338"/>
      <c r="H57" s="1338"/>
      <c r="I57" s="1338"/>
      <c r="J57" s="1338"/>
      <c r="K57" s="1338"/>
      <c r="L57" s="1338"/>
      <c r="M57" s="1339"/>
      <c r="N57" s="1341"/>
      <c r="O57" s="1342"/>
      <c r="P57" s="1342"/>
      <c r="Q57" s="1342"/>
      <c r="R57" s="1342"/>
      <c r="S57" s="1342"/>
      <c r="T57" s="1342"/>
      <c r="U57" s="1342"/>
      <c r="V57" s="1342"/>
      <c r="W57" s="1342"/>
      <c r="X57" s="1342"/>
      <c r="Y57" s="1343"/>
      <c r="Z57" s="1341"/>
      <c r="AA57" s="1342"/>
      <c r="AB57" s="1342"/>
      <c r="AC57" s="1342"/>
      <c r="AD57" s="1342"/>
      <c r="AE57" s="1342"/>
      <c r="AF57" s="1343"/>
      <c r="AG57" s="1340"/>
      <c r="AH57" s="1338"/>
      <c r="AI57" s="1338"/>
      <c r="AJ57" s="1338"/>
      <c r="AK57" s="1338"/>
      <c r="AL57" s="1338"/>
      <c r="AM57" s="1338"/>
      <c r="AN57" s="1352"/>
    </row>
    <row r="58" spans="1:50" ht="26.25" customHeight="1">
      <c r="A58" s="1337"/>
      <c r="B58" s="1338"/>
      <c r="C58" s="1338"/>
      <c r="D58" s="1339"/>
      <c r="E58" s="1340"/>
      <c r="F58" s="1338"/>
      <c r="G58" s="1338"/>
      <c r="H58" s="1338"/>
      <c r="I58" s="1338"/>
      <c r="J58" s="1338"/>
      <c r="K58" s="1338"/>
      <c r="L58" s="1338"/>
      <c r="M58" s="1339"/>
      <c r="N58" s="1341"/>
      <c r="O58" s="1342"/>
      <c r="P58" s="1342"/>
      <c r="Q58" s="1342"/>
      <c r="R58" s="1342"/>
      <c r="S58" s="1342"/>
      <c r="T58" s="1342"/>
      <c r="U58" s="1342"/>
      <c r="V58" s="1342"/>
      <c r="W58" s="1342"/>
      <c r="X58" s="1342"/>
      <c r="Y58" s="1343"/>
      <c r="Z58" s="1341"/>
      <c r="AA58" s="1342"/>
      <c r="AB58" s="1342"/>
      <c r="AC58" s="1342"/>
      <c r="AD58" s="1342"/>
      <c r="AE58" s="1342"/>
      <c r="AF58" s="1343"/>
      <c r="AG58" s="1340"/>
      <c r="AH58" s="1338"/>
      <c r="AI58" s="1338"/>
      <c r="AJ58" s="1338"/>
      <c r="AK58" s="1338"/>
      <c r="AL58" s="1338"/>
      <c r="AM58" s="1338"/>
      <c r="AN58" s="1352"/>
    </row>
    <row r="59" spans="1:50" ht="26.25" customHeight="1">
      <c r="A59" s="1337"/>
      <c r="B59" s="1338"/>
      <c r="C59" s="1338"/>
      <c r="D59" s="1339"/>
      <c r="E59" s="1340"/>
      <c r="F59" s="1338"/>
      <c r="G59" s="1338"/>
      <c r="H59" s="1338"/>
      <c r="I59" s="1338"/>
      <c r="J59" s="1338"/>
      <c r="K59" s="1338"/>
      <c r="L59" s="1338"/>
      <c r="M59" s="1339"/>
      <c r="N59" s="1341"/>
      <c r="O59" s="1342"/>
      <c r="P59" s="1342"/>
      <c r="Q59" s="1342"/>
      <c r="R59" s="1342"/>
      <c r="S59" s="1342"/>
      <c r="T59" s="1342"/>
      <c r="U59" s="1342"/>
      <c r="V59" s="1342"/>
      <c r="W59" s="1342"/>
      <c r="X59" s="1342"/>
      <c r="Y59" s="1343"/>
      <c r="Z59" s="1341"/>
      <c r="AA59" s="1342"/>
      <c r="AB59" s="1342"/>
      <c r="AC59" s="1342"/>
      <c r="AD59" s="1342"/>
      <c r="AE59" s="1342"/>
      <c r="AF59" s="1343"/>
      <c r="AG59" s="1340"/>
      <c r="AH59" s="1338"/>
      <c r="AI59" s="1338"/>
      <c r="AJ59" s="1338"/>
      <c r="AK59" s="1338"/>
      <c r="AL59" s="1338"/>
      <c r="AM59" s="1338"/>
      <c r="AN59" s="1352"/>
    </row>
    <row r="60" spans="1:50" ht="26.25" customHeight="1" thickBot="1">
      <c r="A60" s="1369"/>
      <c r="B60" s="1370"/>
      <c r="C60" s="1370"/>
      <c r="D60" s="1371"/>
      <c r="E60" s="1372"/>
      <c r="F60" s="1370"/>
      <c r="G60" s="1370"/>
      <c r="H60" s="1370"/>
      <c r="I60" s="1370"/>
      <c r="J60" s="1370"/>
      <c r="K60" s="1370"/>
      <c r="L60" s="1370"/>
      <c r="M60" s="1371"/>
      <c r="N60" s="1365"/>
      <c r="O60" s="1366"/>
      <c r="P60" s="1366"/>
      <c r="Q60" s="1366"/>
      <c r="R60" s="1366"/>
      <c r="S60" s="1366"/>
      <c r="T60" s="1366"/>
      <c r="U60" s="1366"/>
      <c r="V60" s="1366"/>
      <c r="W60" s="1366"/>
      <c r="X60" s="1366"/>
      <c r="Y60" s="1368"/>
      <c r="Z60" s="1365"/>
      <c r="AA60" s="1366"/>
      <c r="AB60" s="1366"/>
      <c r="AC60" s="1366"/>
      <c r="AD60" s="1366"/>
      <c r="AE60" s="1366"/>
      <c r="AF60" s="1368"/>
      <c r="AG60" s="1365"/>
      <c r="AH60" s="1366"/>
      <c r="AI60" s="1366"/>
      <c r="AJ60" s="1366"/>
      <c r="AK60" s="1366"/>
      <c r="AL60" s="1366"/>
      <c r="AM60" s="1366"/>
      <c r="AN60" s="1367"/>
    </row>
    <row r="61" spans="1:50" ht="3" customHeight="1" thickBot="1"/>
    <row r="62" spans="1:50" ht="16.5">
      <c r="A62" s="1038" t="str">
        <f>VLOOKUP("bestätigung lieferant",Translations!$A:$T,MATCH(Cover!DR19,Translations!A2:P2,0),0)</f>
        <v>Confirmation Supplier:</v>
      </c>
      <c r="B62" s="1039"/>
      <c r="C62" s="1039"/>
      <c r="D62" s="1039"/>
      <c r="E62" s="1039"/>
      <c r="F62" s="1039"/>
      <c r="G62" s="1039"/>
      <c r="H62" s="1039"/>
      <c r="I62" s="1039"/>
      <c r="J62" s="1039"/>
      <c r="K62" s="1039"/>
      <c r="L62" s="1039"/>
      <c r="M62" s="1039"/>
      <c r="N62" s="1039"/>
      <c r="O62" s="1039"/>
      <c r="P62" s="1039"/>
      <c r="Q62" s="1040"/>
      <c r="R62" s="121"/>
      <c r="S62" s="132"/>
      <c r="T62" s="132"/>
      <c r="U62" s="113"/>
      <c r="V62" s="113"/>
      <c r="W62" s="113"/>
      <c r="X62" s="113"/>
      <c r="Y62" s="113"/>
      <c r="Z62" s="113"/>
      <c r="AA62" s="113"/>
      <c r="AB62" s="113"/>
      <c r="AC62" s="113"/>
      <c r="AD62" s="113"/>
      <c r="AE62" s="113"/>
      <c r="AF62" s="113"/>
      <c r="AG62" s="113"/>
      <c r="AH62" s="113"/>
      <c r="AI62" s="113"/>
      <c r="AJ62" s="113"/>
      <c r="AK62" s="113"/>
      <c r="AL62" s="113"/>
      <c r="AM62" s="113"/>
      <c r="AN62" s="113"/>
      <c r="AO62" s="113"/>
      <c r="AP62" s="113"/>
      <c r="AQ62" s="113"/>
      <c r="AR62" s="113"/>
      <c r="AS62" s="113"/>
      <c r="AT62" s="113"/>
      <c r="AU62" s="113"/>
      <c r="AV62" s="113"/>
      <c r="AW62" s="113"/>
      <c r="AX62" s="113"/>
    </row>
    <row r="63" spans="1:50" ht="16.5">
      <c r="A63" s="1357" t="str">
        <f>VLOOKUP("bemerkungen",Translations!$A:$T,MATCH(Cover!DR19,Translations!A2:P2,0),0)</f>
        <v>Comments:</v>
      </c>
      <c r="B63" s="1358"/>
      <c r="C63" s="1358"/>
      <c r="D63" s="1358"/>
      <c r="E63" s="1358"/>
      <c r="F63" s="1358"/>
      <c r="G63" s="1359"/>
      <c r="H63" s="1359"/>
      <c r="I63" s="1359"/>
      <c r="J63" s="1359"/>
      <c r="K63" s="1359"/>
      <c r="L63" s="1359"/>
      <c r="M63" s="1359"/>
      <c r="N63" s="1359"/>
      <c r="O63" s="1359"/>
      <c r="P63" s="1359"/>
      <c r="Q63" s="1360"/>
      <c r="R63" s="122"/>
      <c r="S63" s="128"/>
      <c r="T63" s="128"/>
      <c r="U63" s="113"/>
      <c r="V63" s="113"/>
      <c r="W63" s="113"/>
      <c r="X63" s="113"/>
      <c r="Y63" s="113"/>
      <c r="Z63" s="113"/>
      <c r="AA63" s="113"/>
      <c r="AB63" s="113"/>
      <c r="AC63" s="113"/>
      <c r="AD63" s="113"/>
      <c r="AE63" s="113"/>
      <c r="AF63" s="113"/>
      <c r="AG63" s="113"/>
      <c r="AH63" s="113"/>
      <c r="AI63" s="113"/>
      <c r="AJ63" s="113"/>
      <c r="AK63" s="113"/>
      <c r="AL63" s="113"/>
      <c r="AM63" s="113"/>
      <c r="AN63" s="113"/>
      <c r="AO63" s="113"/>
      <c r="AP63" s="113"/>
      <c r="AQ63" s="113"/>
      <c r="AR63" s="113"/>
      <c r="AS63" s="113"/>
      <c r="AT63" s="113"/>
      <c r="AU63" s="113"/>
      <c r="AV63" s="113"/>
      <c r="AW63" s="113"/>
      <c r="AX63" s="113"/>
    </row>
    <row r="64" spans="1:50" ht="16.5">
      <c r="A64" s="1021"/>
      <c r="B64" s="1022"/>
      <c r="C64" s="1022"/>
      <c r="D64" s="1022"/>
      <c r="E64" s="1022"/>
      <c r="F64" s="1022"/>
      <c r="G64" s="1022"/>
      <c r="H64" s="1022"/>
      <c r="I64" s="1022"/>
      <c r="J64" s="1022"/>
      <c r="K64" s="1022"/>
      <c r="L64" s="1022"/>
      <c r="M64" s="1022"/>
      <c r="N64" s="1022"/>
      <c r="O64" s="1022"/>
      <c r="P64" s="1022"/>
      <c r="Q64" s="1023"/>
      <c r="R64" s="122"/>
      <c r="S64" s="128"/>
      <c r="T64" s="128"/>
      <c r="U64" s="113"/>
      <c r="V64" s="113"/>
      <c r="W64" s="113"/>
      <c r="X64" s="113"/>
      <c r="Y64" s="113"/>
      <c r="Z64" s="113"/>
      <c r="AA64" s="113"/>
      <c r="AB64" s="113"/>
      <c r="AC64" s="113"/>
      <c r="AD64" s="113"/>
      <c r="AE64" s="113"/>
      <c r="AF64" s="113"/>
      <c r="AG64" s="113"/>
      <c r="AH64" s="113"/>
      <c r="AI64" s="113"/>
      <c r="AJ64" s="113"/>
      <c r="AK64" s="113"/>
      <c r="AL64" s="113"/>
      <c r="AM64" s="113"/>
      <c r="AN64" s="113"/>
      <c r="AO64" s="113"/>
      <c r="AP64" s="113"/>
      <c r="AQ64" s="113"/>
      <c r="AR64" s="113"/>
      <c r="AS64" s="113"/>
      <c r="AT64" s="113"/>
      <c r="AU64" s="113"/>
      <c r="AV64" s="113"/>
      <c r="AW64" s="113"/>
      <c r="AX64" s="113"/>
    </row>
    <row r="65" spans="1:50" ht="18" customHeight="1">
      <c r="A65" s="1021"/>
      <c r="B65" s="1022"/>
      <c r="C65" s="1022"/>
      <c r="D65" s="1022"/>
      <c r="E65" s="1022"/>
      <c r="F65" s="1022"/>
      <c r="G65" s="1022"/>
      <c r="H65" s="1022"/>
      <c r="I65" s="1022"/>
      <c r="J65" s="1022"/>
      <c r="K65" s="1022"/>
      <c r="L65" s="1022"/>
      <c r="M65" s="1022"/>
      <c r="N65" s="1022"/>
      <c r="O65" s="1022"/>
      <c r="P65" s="1022"/>
      <c r="Q65" s="1023"/>
      <c r="R65" s="123"/>
      <c r="S65" s="299"/>
      <c r="T65" s="299"/>
      <c r="U65" s="113"/>
      <c r="V65" s="113"/>
      <c r="W65" s="113"/>
      <c r="X65" s="113"/>
      <c r="Y65" s="113"/>
      <c r="Z65" s="113"/>
      <c r="AA65" s="113"/>
      <c r="AB65" s="113"/>
      <c r="AC65" s="113"/>
      <c r="AD65" s="113"/>
      <c r="AE65" s="113"/>
      <c r="AF65" s="113"/>
      <c r="AG65" s="113"/>
      <c r="AH65" s="113"/>
      <c r="AI65" s="113"/>
      <c r="AJ65" s="113"/>
      <c r="AK65" s="113"/>
      <c r="AL65" s="113"/>
      <c r="AM65" s="113"/>
      <c r="AN65" s="113"/>
      <c r="AO65" s="113"/>
      <c r="AP65" s="113"/>
      <c r="AQ65" s="113"/>
      <c r="AR65" s="113"/>
      <c r="AS65" s="113"/>
      <c r="AT65" s="113"/>
      <c r="AU65" s="113"/>
      <c r="AV65" s="113"/>
      <c r="AW65" s="113"/>
      <c r="AX65" s="113"/>
    </row>
    <row r="66" spans="1:50" ht="15.95" customHeight="1">
      <c r="A66" s="1021"/>
      <c r="B66" s="1022"/>
      <c r="C66" s="1022"/>
      <c r="D66" s="1022"/>
      <c r="E66" s="1022"/>
      <c r="F66" s="1022"/>
      <c r="G66" s="1022"/>
      <c r="H66" s="1022"/>
      <c r="I66" s="1022"/>
      <c r="J66" s="1022"/>
      <c r="K66" s="1022"/>
      <c r="L66" s="1022"/>
      <c r="M66" s="1022"/>
      <c r="N66" s="1022"/>
      <c r="O66" s="1022"/>
      <c r="P66" s="1022"/>
      <c r="Q66" s="1023"/>
      <c r="R66" s="124"/>
      <c r="S66" s="300"/>
      <c r="T66" s="300"/>
      <c r="U66" s="113"/>
      <c r="V66" s="113"/>
      <c r="W66" s="113"/>
      <c r="X66" s="113"/>
      <c r="Y66" s="113"/>
      <c r="Z66" s="113"/>
      <c r="AA66" s="113"/>
      <c r="AB66" s="113"/>
      <c r="AC66" s="113"/>
      <c r="AD66" s="113"/>
      <c r="AE66" s="113"/>
      <c r="AF66" s="113"/>
      <c r="AG66" s="113"/>
      <c r="AH66" s="113"/>
      <c r="AI66" s="113"/>
      <c r="AJ66" s="113"/>
      <c r="AK66" s="113"/>
      <c r="AL66" s="113"/>
      <c r="AM66" s="113"/>
      <c r="AN66" s="113"/>
      <c r="AO66" s="113"/>
      <c r="AP66" s="113"/>
      <c r="AQ66" s="113"/>
      <c r="AR66" s="113"/>
      <c r="AS66" s="113"/>
      <c r="AT66" s="113"/>
      <c r="AU66" s="113"/>
      <c r="AV66" s="113"/>
      <c r="AW66" s="113"/>
      <c r="AX66" s="113"/>
    </row>
    <row r="67" spans="1:50" ht="20.100000000000001" customHeight="1">
      <c r="A67" s="1021"/>
      <c r="B67" s="1022"/>
      <c r="C67" s="1022"/>
      <c r="D67" s="1022"/>
      <c r="E67" s="1022"/>
      <c r="F67" s="1022"/>
      <c r="G67" s="1022"/>
      <c r="H67" s="1022"/>
      <c r="I67" s="1022"/>
      <c r="J67" s="1022"/>
      <c r="K67" s="1022"/>
      <c r="L67" s="1022"/>
      <c r="M67" s="1022"/>
      <c r="N67" s="1022"/>
      <c r="O67" s="1022"/>
      <c r="P67" s="1022"/>
      <c r="Q67" s="1023"/>
      <c r="R67" s="124"/>
      <c r="S67" s="300"/>
      <c r="T67" s="300"/>
      <c r="U67" s="113"/>
      <c r="V67" s="113"/>
      <c r="W67" s="113"/>
      <c r="X67" s="113"/>
      <c r="Y67" s="113"/>
      <c r="Z67" s="113"/>
      <c r="AA67" s="113"/>
      <c r="AB67" s="113"/>
      <c r="AC67" s="113"/>
      <c r="AD67" s="113"/>
      <c r="AE67" s="113"/>
      <c r="AF67" s="113"/>
      <c r="AG67" s="113"/>
      <c r="AH67" s="113"/>
      <c r="AI67" s="113"/>
      <c r="AJ67" s="113"/>
      <c r="AK67" s="113"/>
      <c r="AL67" s="113"/>
      <c r="AM67" s="113"/>
      <c r="AN67" s="113"/>
      <c r="AO67" s="113"/>
      <c r="AP67" s="113"/>
      <c r="AQ67" s="113"/>
      <c r="AR67" s="113"/>
      <c r="AS67" s="113"/>
      <c r="AT67" s="113"/>
      <c r="AU67" s="113"/>
      <c r="AV67" s="113"/>
      <c r="AW67" s="113"/>
      <c r="AX67" s="113"/>
    </row>
    <row r="68" spans="1:50" ht="11.25" customHeight="1" thickBot="1">
      <c r="A68" s="1024"/>
      <c r="B68" s="1025"/>
      <c r="C68" s="1025"/>
      <c r="D68" s="1025"/>
      <c r="E68" s="1025"/>
      <c r="F68" s="1025"/>
      <c r="G68" s="1025"/>
      <c r="H68" s="1025"/>
      <c r="I68" s="1025"/>
      <c r="J68" s="1025"/>
      <c r="K68" s="1025"/>
      <c r="L68" s="1025"/>
      <c r="M68" s="1025"/>
      <c r="N68" s="1025"/>
      <c r="O68" s="1025"/>
      <c r="P68" s="1025"/>
      <c r="Q68" s="1026"/>
      <c r="R68" s="124"/>
      <c r="S68" s="300"/>
      <c r="T68" s="300"/>
      <c r="U68" s="113"/>
      <c r="V68" s="113"/>
      <c r="W68" s="113"/>
      <c r="X68" s="113"/>
      <c r="Y68" s="113"/>
      <c r="Z68" s="113"/>
      <c r="AA68" s="113"/>
      <c r="AB68" s="113"/>
      <c r="AC68" s="113"/>
      <c r="AD68" s="113"/>
      <c r="AE68" s="113"/>
      <c r="AF68" s="113"/>
      <c r="AG68" s="113"/>
      <c r="AH68" s="113"/>
      <c r="AI68" s="113"/>
      <c r="AJ68" s="113"/>
      <c r="AK68" s="113"/>
      <c r="AL68" s="113"/>
      <c r="AM68" s="113"/>
      <c r="AN68" s="113"/>
      <c r="AO68" s="113"/>
      <c r="AP68" s="113"/>
      <c r="AQ68" s="113"/>
      <c r="AR68" s="113"/>
      <c r="AS68" s="113"/>
      <c r="AT68" s="113"/>
      <c r="AU68" s="113"/>
      <c r="AV68" s="113"/>
      <c r="AW68" s="113"/>
      <c r="AX68" s="113"/>
    </row>
    <row r="69" spans="1:50" ht="16.5" customHeight="1">
      <c r="A69" s="1361" t="str">
        <f>Content!A109</f>
        <v>Name:</v>
      </c>
      <c r="B69" s="1362"/>
      <c r="C69" s="1362"/>
      <c r="D69" s="1362"/>
      <c r="E69" s="1362"/>
      <c r="F69" s="1315"/>
      <c r="G69" s="1315"/>
      <c r="H69" s="1315"/>
      <c r="I69" s="1315"/>
      <c r="J69" s="1315"/>
      <c r="K69" s="1315"/>
      <c r="L69" s="1315"/>
      <c r="M69" s="1315"/>
      <c r="N69" s="1315"/>
      <c r="O69" s="1315"/>
      <c r="P69" s="1315"/>
      <c r="Q69" s="1316"/>
      <c r="R69" s="125"/>
      <c r="S69" s="126"/>
      <c r="T69" s="126"/>
      <c r="U69" s="113"/>
      <c r="V69" s="113"/>
      <c r="W69" s="113"/>
      <c r="X69" s="113"/>
      <c r="Y69" s="113"/>
      <c r="Z69" s="113"/>
      <c r="AA69" s="113"/>
      <c r="AB69" s="113"/>
      <c r="AC69" s="113"/>
      <c r="AD69" s="113"/>
      <c r="AE69" s="113"/>
      <c r="AF69" s="113"/>
      <c r="AG69" s="113"/>
      <c r="AH69" s="113"/>
      <c r="AI69" s="113"/>
      <c r="AJ69" s="113"/>
      <c r="AK69" s="113"/>
      <c r="AL69" s="113"/>
      <c r="AM69" s="113"/>
      <c r="AN69" s="113"/>
      <c r="AO69" s="113"/>
      <c r="AP69" s="113"/>
      <c r="AQ69" s="113"/>
      <c r="AR69" s="113"/>
      <c r="AS69" s="113"/>
      <c r="AT69" s="113"/>
      <c r="AU69" s="113"/>
      <c r="AV69" s="113"/>
      <c r="AW69" s="113"/>
      <c r="AX69" s="113"/>
    </row>
    <row r="70" spans="1:50" ht="16.5" customHeight="1">
      <c r="A70" s="1378" t="str">
        <f>Content!A110</f>
        <v>Department:</v>
      </c>
      <c r="B70" s="1379"/>
      <c r="C70" s="1379"/>
      <c r="D70" s="1379"/>
      <c r="E70" s="1379"/>
      <c r="F70" s="1379"/>
      <c r="G70" s="1376"/>
      <c r="H70" s="1376"/>
      <c r="I70" s="1376"/>
      <c r="J70" s="1376"/>
      <c r="K70" s="1376"/>
      <c r="L70" s="1376"/>
      <c r="M70" s="1376"/>
      <c r="N70" s="1376"/>
      <c r="O70" s="1376"/>
      <c r="P70" s="1376"/>
      <c r="Q70" s="1377"/>
      <c r="R70" s="125"/>
      <c r="S70" s="126"/>
      <c r="T70" s="126"/>
      <c r="U70" s="113"/>
      <c r="V70" s="113"/>
      <c r="W70" s="113"/>
      <c r="X70" s="113"/>
      <c r="Y70" s="113"/>
      <c r="Z70" s="113"/>
      <c r="AA70" s="113"/>
      <c r="AB70" s="113"/>
      <c r="AC70" s="113"/>
      <c r="AD70" s="113"/>
      <c r="AE70" s="113"/>
      <c r="AF70" s="113"/>
      <c r="AG70" s="113"/>
      <c r="AH70" s="113"/>
      <c r="AI70" s="113"/>
      <c r="AJ70" s="113"/>
      <c r="AK70" s="113"/>
      <c r="AL70" s="113"/>
      <c r="AM70" s="113"/>
      <c r="AN70" s="113"/>
      <c r="AO70" s="113"/>
      <c r="AP70" s="113"/>
      <c r="AQ70" s="113"/>
      <c r="AR70" s="113"/>
      <c r="AS70" s="113"/>
      <c r="AT70" s="113"/>
      <c r="AU70" s="113"/>
      <c r="AV70" s="113"/>
      <c r="AW70" s="113"/>
      <c r="AX70" s="113"/>
    </row>
    <row r="71" spans="1:50" ht="16.5" customHeight="1">
      <c r="A71" s="1363" t="str">
        <f>Content!A111</f>
        <v>Phone:</v>
      </c>
      <c r="B71" s="1364"/>
      <c r="C71" s="1364"/>
      <c r="D71" s="1364"/>
      <c r="E71" s="1364"/>
      <c r="F71" s="1301"/>
      <c r="G71" s="1301"/>
      <c r="H71" s="1301"/>
      <c r="I71" s="1301"/>
      <c r="J71" s="1301"/>
      <c r="K71" s="1301"/>
      <c r="L71" s="1301"/>
      <c r="M71" s="1301"/>
      <c r="N71" s="1301"/>
      <c r="O71" s="1301"/>
      <c r="P71" s="1301"/>
      <c r="Q71" s="1302"/>
      <c r="R71" s="125"/>
      <c r="S71" s="126"/>
      <c r="T71" s="126"/>
      <c r="U71" s="113"/>
      <c r="V71" s="113"/>
      <c r="W71" s="113"/>
      <c r="X71" s="113"/>
      <c r="Y71" s="113"/>
      <c r="Z71" s="113"/>
      <c r="AA71" s="113"/>
      <c r="AB71" s="113"/>
      <c r="AC71" s="113"/>
      <c r="AD71" s="113"/>
      <c r="AE71" s="113"/>
      <c r="AF71" s="113"/>
      <c r="AG71" s="113"/>
      <c r="AH71" s="113"/>
      <c r="AI71" s="113"/>
      <c r="AJ71" s="113"/>
      <c r="AK71" s="113"/>
      <c r="AL71" s="113"/>
      <c r="AM71" s="113"/>
      <c r="AN71" s="113"/>
      <c r="AO71" s="113"/>
      <c r="AP71" s="113"/>
      <c r="AQ71" s="113"/>
      <c r="AR71" s="113"/>
      <c r="AS71" s="113"/>
      <c r="AT71" s="113"/>
      <c r="AU71" s="113"/>
      <c r="AV71" s="113"/>
      <c r="AW71" s="113"/>
      <c r="AX71" s="113"/>
    </row>
    <row r="72" spans="1:50" ht="16.5" customHeight="1">
      <c r="A72" s="1363" t="str">
        <f>Content!A112</f>
        <v>Fax:</v>
      </c>
      <c r="B72" s="1364"/>
      <c r="C72" s="1364"/>
      <c r="D72" s="1364"/>
      <c r="E72" s="1364"/>
      <c r="F72" s="1301"/>
      <c r="G72" s="1301"/>
      <c r="H72" s="1301"/>
      <c r="I72" s="1301"/>
      <c r="J72" s="1301"/>
      <c r="K72" s="1301"/>
      <c r="L72" s="1301"/>
      <c r="M72" s="1301"/>
      <c r="N72" s="1301"/>
      <c r="O72" s="1301"/>
      <c r="P72" s="1301"/>
      <c r="Q72" s="1302"/>
      <c r="R72" s="125"/>
      <c r="S72" s="126"/>
      <c r="T72" s="126"/>
      <c r="U72" s="113"/>
      <c r="V72" s="113"/>
      <c r="W72" s="113"/>
      <c r="X72" s="113"/>
      <c r="Y72" s="113"/>
      <c r="Z72" s="113"/>
      <c r="AA72" s="113"/>
      <c r="AB72" s="113"/>
      <c r="AC72" s="113"/>
      <c r="AD72" s="113"/>
      <c r="AE72" s="113"/>
      <c r="AF72" s="113"/>
      <c r="AG72" s="113"/>
      <c r="AH72" s="113"/>
      <c r="AI72" s="113"/>
      <c r="AJ72" s="113"/>
      <c r="AK72" s="113"/>
      <c r="AL72" s="113"/>
      <c r="AM72" s="113"/>
      <c r="AN72" s="113"/>
      <c r="AO72" s="113"/>
      <c r="AP72" s="113"/>
      <c r="AQ72" s="113"/>
      <c r="AR72" s="113"/>
      <c r="AS72" s="113"/>
      <c r="AT72" s="113"/>
      <c r="AU72" s="113"/>
      <c r="AV72" s="113"/>
      <c r="AW72" s="113"/>
      <c r="AX72" s="113"/>
    </row>
    <row r="73" spans="1:50" ht="16.5" customHeight="1">
      <c r="A73" s="1363" t="s">
        <v>478</v>
      </c>
      <c r="B73" s="1364"/>
      <c r="C73" s="1364"/>
      <c r="D73" s="1364"/>
      <c r="E73" s="1364"/>
      <c r="F73" s="1301"/>
      <c r="G73" s="1301"/>
      <c r="H73" s="1301"/>
      <c r="I73" s="1301"/>
      <c r="J73" s="1301"/>
      <c r="K73" s="1301"/>
      <c r="L73" s="1301"/>
      <c r="M73" s="1301"/>
      <c r="N73" s="1301"/>
      <c r="O73" s="1301"/>
      <c r="P73" s="1301"/>
      <c r="Q73" s="1302"/>
      <c r="R73" s="125"/>
      <c r="S73" s="126"/>
      <c r="T73" s="126"/>
      <c r="U73" s="126"/>
      <c r="V73" s="126"/>
      <c r="W73" s="127"/>
      <c r="X73" s="127"/>
      <c r="Y73" s="127"/>
      <c r="Z73" s="127"/>
      <c r="AA73" s="127"/>
      <c r="AB73" s="127"/>
      <c r="AC73" s="127"/>
      <c r="AD73" s="127"/>
      <c r="AE73" s="127"/>
      <c r="AF73" s="127"/>
      <c r="AG73" s="127"/>
      <c r="AH73" s="127"/>
      <c r="AI73" s="127"/>
      <c r="AJ73" s="127"/>
      <c r="AK73" s="127"/>
      <c r="AL73" s="127"/>
      <c r="AM73" s="127"/>
      <c r="AN73" s="127"/>
      <c r="AO73" s="113"/>
      <c r="AP73" s="113"/>
      <c r="AQ73" s="113"/>
      <c r="AR73" s="113"/>
      <c r="AS73" s="113"/>
      <c r="AT73" s="113"/>
      <c r="AU73" s="113"/>
      <c r="AV73" s="113"/>
      <c r="AW73" s="113"/>
      <c r="AX73" s="113"/>
    </row>
    <row r="74" spans="1:50" ht="33.75" customHeight="1" thickBot="1">
      <c r="A74" s="1373" t="str">
        <f>Content!A114</f>
        <v>Date:</v>
      </c>
      <c r="B74" s="1374"/>
      <c r="C74" s="1374"/>
      <c r="D74" s="1374"/>
      <c r="E74" s="1374"/>
      <c r="F74" s="1295"/>
      <c r="G74" s="1296"/>
      <c r="H74" s="1375" t="str">
        <f>Content!N114</f>
        <v>Signature:</v>
      </c>
      <c r="I74" s="1375"/>
      <c r="J74" s="1375"/>
      <c r="K74" s="1375"/>
      <c r="L74" s="1296"/>
      <c r="M74" s="1296"/>
      <c r="N74" s="1296"/>
      <c r="O74" s="1296"/>
      <c r="P74" s="1296"/>
      <c r="Q74" s="1298"/>
      <c r="R74" s="122"/>
      <c r="S74" s="128"/>
      <c r="T74" s="128"/>
      <c r="U74" s="128"/>
      <c r="V74" s="128"/>
      <c r="W74" s="129"/>
      <c r="X74" s="127"/>
      <c r="Y74" s="127"/>
      <c r="Z74" s="127"/>
      <c r="AA74" s="128"/>
      <c r="AB74" s="128"/>
      <c r="AC74" s="128"/>
      <c r="AD74" s="128"/>
      <c r="AE74" s="128"/>
      <c r="AF74" s="127"/>
      <c r="AG74" s="127"/>
      <c r="AH74" s="127"/>
      <c r="AI74" s="127"/>
      <c r="AJ74" s="127"/>
      <c r="AK74" s="127"/>
      <c r="AL74" s="127"/>
      <c r="AM74" s="127"/>
      <c r="AN74" s="127"/>
      <c r="AO74" s="113"/>
      <c r="AP74" s="113"/>
      <c r="AQ74" s="113"/>
      <c r="AR74" s="113"/>
      <c r="AS74" s="113"/>
      <c r="AT74" s="113"/>
      <c r="AU74" s="113"/>
      <c r="AV74" s="113"/>
      <c r="AW74" s="113"/>
      <c r="AX74" s="113"/>
    </row>
    <row r="75" spans="1:50" s="113" customFormat="1">
      <c r="A75" s="114"/>
      <c r="B75" s="114"/>
      <c r="C75" s="114"/>
      <c r="D75" s="114"/>
      <c r="E75" s="114"/>
      <c r="F75" s="114"/>
      <c r="G75" s="114"/>
      <c r="H75" s="114"/>
      <c r="I75" s="114"/>
      <c r="J75" s="114"/>
      <c r="K75" s="115"/>
      <c r="L75" s="115"/>
      <c r="M75" s="115"/>
      <c r="N75" s="115"/>
      <c r="O75" s="115"/>
      <c r="P75" s="115"/>
      <c r="Q75" s="114"/>
      <c r="R75" s="114"/>
      <c r="S75" s="114"/>
      <c r="T75" s="114"/>
      <c r="U75" s="114"/>
      <c r="V75" s="114"/>
      <c r="W75" s="114"/>
      <c r="X75" s="114"/>
    </row>
    <row r="76" spans="1:50" s="113" customFormat="1">
      <c r="A76" s="116"/>
      <c r="B76" s="116"/>
      <c r="C76" s="116"/>
      <c r="D76" s="116"/>
      <c r="E76" s="117"/>
      <c r="F76" s="117"/>
      <c r="G76" s="117"/>
      <c r="H76" s="117"/>
      <c r="I76" s="117"/>
      <c r="J76" s="117"/>
      <c r="K76" s="116"/>
      <c r="L76" s="116"/>
      <c r="M76" s="116"/>
      <c r="N76" s="116"/>
      <c r="O76" s="116"/>
      <c r="P76" s="116"/>
      <c r="Q76" s="116"/>
      <c r="R76" s="116"/>
      <c r="S76" s="116"/>
      <c r="T76" s="116"/>
      <c r="U76" s="118"/>
      <c r="V76" s="116"/>
      <c r="W76" s="116"/>
      <c r="X76" s="116"/>
    </row>
    <row r="77" spans="1:50" s="113" customFormat="1">
      <c r="A77" s="76"/>
      <c r="B77" s="76"/>
      <c r="C77" s="76"/>
      <c r="D77" s="76"/>
      <c r="E77" s="76"/>
      <c r="F77" s="76"/>
      <c r="G77" s="76"/>
      <c r="H77" s="76"/>
      <c r="I77" s="76"/>
      <c r="J77" s="76"/>
      <c r="K77" s="76"/>
      <c r="L77" s="76"/>
      <c r="M77" s="76"/>
      <c r="N77" s="76"/>
      <c r="O77" s="76"/>
      <c r="P77" s="76"/>
      <c r="Q77" s="76"/>
      <c r="R77" s="76"/>
      <c r="S77" s="76"/>
      <c r="T77" s="76"/>
      <c r="U77" s="75"/>
      <c r="V77" s="76"/>
      <c r="W77" s="76"/>
      <c r="X77" s="76"/>
    </row>
    <row r="78" spans="1:50" s="113" customFormat="1">
      <c r="A78" s="76"/>
      <c r="B78" s="76"/>
      <c r="C78" s="76"/>
      <c r="D78" s="76"/>
      <c r="E78" s="76"/>
      <c r="F78" s="76"/>
      <c r="G78" s="76"/>
      <c r="H78" s="76"/>
      <c r="I78" s="76"/>
      <c r="J78" s="76"/>
      <c r="K78" s="76"/>
      <c r="L78" s="76"/>
      <c r="M78" s="76"/>
      <c r="N78" s="76"/>
      <c r="O78" s="76"/>
      <c r="P78" s="76"/>
      <c r="Q78" s="76"/>
      <c r="R78" s="76"/>
      <c r="S78" s="76"/>
      <c r="T78" s="76"/>
      <c r="U78" s="75"/>
      <c r="V78" s="76"/>
      <c r="W78" s="76"/>
      <c r="X78" s="76"/>
    </row>
    <row r="79" spans="1:50" s="113" customFormat="1">
      <c r="A79" s="76"/>
      <c r="B79" s="76"/>
      <c r="C79" s="76"/>
      <c r="D79" s="76"/>
      <c r="E79" s="76"/>
      <c r="F79" s="76"/>
      <c r="G79" s="76"/>
      <c r="H79" s="76"/>
      <c r="I79" s="76"/>
      <c r="J79" s="76"/>
      <c r="K79" s="76"/>
      <c r="L79" s="76"/>
      <c r="M79" s="76"/>
      <c r="N79" s="76"/>
      <c r="O79" s="76"/>
      <c r="P79" s="76"/>
      <c r="Q79" s="76"/>
      <c r="R79" s="76"/>
      <c r="S79" s="76"/>
      <c r="T79" s="76"/>
      <c r="U79" s="75"/>
      <c r="V79" s="76"/>
      <c r="W79" s="76"/>
      <c r="X79" s="76"/>
    </row>
    <row r="80" spans="1:50" s="113" customFormat="1">
      <c r="A80" s="76"/>
      <c r="B80" s="76"/>
      <c r="C80" s="76"/>
      <c r="D80" s="76"/>
      <c r="E80" s="76"/>
      <c r="F80" s="76"/>
      <c r="G80" s="76"/>
      <c r="H80" s="76"/>
      <c r="I80" s="76"/>
      <c r="J80" s="76"/>
      <c r="K80" s="76"/>
      <c r="L80" s="76"/>
      <c r="M80" s="76"/>
      <c r="N80" s="76"/>
      <c r="O80" s="76"/>
      <c r="P80" s="76"/>
      <c r="Q80" s="76"/>
      <c r="R80" s="76"/>
      <c r="S80" s="76"/>
      <c r="T80" s="76"/>
      <c r="U80" s="75"/>
      <c r="V80" s="76"/>
      <c r="W80" s="76"/>
      <c r="X80" s="76"/>
    </row>
    <row r="81" spans="1:24" s="113" customFormat="1">
      <c r="A81" s="76"/>
      <c r="B81" s="76"/>
      <c r="C81" s="76"/>
      <c r="D81" s="76"/>
      <c r="E81" s="76"/>
      <c r="F81" s="76"/>
      <c r="G81" s="76"/>
      <c r="H81" s="76"/>
      <c r="I81" s="76"/>
      <c r="J81" s="76"/>
      <c r="K81" s="76"/>
      <c r="L81" s="76"/>
      <c r="M81" s="76"/>
      <c r="N81" s="76"/>
      <c r="O81" s="76"/>
      <c r="P81" s="76"/>
      <c r="Q81" s="76"/>
      <c r="R81" s="76"/>
      <c r="S81" s="76"/>
      <c r="T81" s="76"/>
      <c r="U81" s="75"/>
      <c r="V81" s="76"/>
      <c r="W81" s="76"/>
      <c r="X81" s="76"/>
    </row>
    <row r="82" spans="1:24" s="113" customFormat="1">
      <c r="A82" s="76"/>
      <c r="B82" s="76"/>
      <c r="C82" s="76"/>
      <c r="D82" s="76"/>
      <c r="E82" s="76"/>
      <c r="F82" s="76"/>
      <c r="G82" s="76"/>
      <c r="H82" s="76"/>
      <c r="I82" s="76"/>
      <c r="J82" s="76"/>
      <c r="K82" s="76"/>
      <c r="L82" s="76"/>
      <c r="M82" s="76"/>
      <c r="N82" s="76"/>
      <c r="O82" s="76"/>
      <c r="P82" s="76"/>
      <c r="Q82" s="76"/>
      <c r="R82" s="76"/>
      <c r="S82" s="76"/>
      <c r="T82" s="76"/>
      <c r="U82" s="75"/>
      <c r="V82" s="76"/>
      <c r="W82" s="76"/>
      <c r="X82" s="76"/>
    </row>
    <row r="83" spans="1:24" s="113" customFormat="1">
      <c r="A83" s="76"/>
      <c r="B83" s="76"/>
      <c r="C83" s="76"/>
      <c r="D83" s="76"/>
      <c r="E83" s="76"/>
      <c r="F83" s="76"/>
      <c r="G83" s="76"/>
      <c r="H83" s="76"/>
      <c r="I83" s="76"/>
      <c r="J83" s="76"/>
      <c r="K83" s="76"/>
      <c r="L83" s="76"/>
      <c r="M83" s="76"/>
      <c r="N83" s="76"/>
      <c r="O83" s="76"/>
      <c r="P83" s="76"/>
      <c r="Q83" s="76"/>
      <c r="R83" s="76"/>
      <c r="S83" s="76"/>
      <c r="T83" s="76"/>
      <c r="U83" s="75"/>
      <c r="V83" s="76"/>
      <c r="W83" s="76"/>
      <c r="X83" s="76"/>
    </row>
    <row r="84" spans="1:24" s="113" customFormat="1">
      <c r="A84" s="76"/>
      <c r="B84" s="76"/>
      <c r="C84" s="76"/>
      <c r="D84" s="76"/>
      <c r="E84" s="76"/>
      <c r="F84" s="76"/>
      <c r="G84" s="76"/>
      <c r="H84" s="76"/>
      <c r="I84" s="76"/>
      <c r="J84" s="76"/>
      <c r="K84" s="76"/>
      <c r="L84" s="76"/>
      <c r="M84" s="76"/>
      <c r="N84" s="76"/>
      <c r="O84" s="76"/>
      <c r="P84" s="76"/>
      <c r="Q84" s="76"/>
      <c r="R84" s="76"/>
      <c r="S84" s="76"/>
      <c r="T84" s="76"/>
      <c r="U84" s="75"/>
      <c r="V84" s="76"/>
      <c r="W84" s="76"/>
      <c r="X84" s="76"/>
    </row>
    <row r="85" spans="1:24" s="113" customFormat="1">
      <c r="A85" s="76"/>
      <c r="B85" s="76"/>
      <c r="C85" s="76"/>
      <c r="D85" s="76"/>
      <c r="E85" s="76"/>
      <c r="F85" s="76"/>
      <c r="G85" s="76"/>
      <c r="H85" s="76"/>
      <c r="I85" s="76"/>
      <c r="J85" s="76"/>
      <c r="K85" s="76"/>
      <c r="L85" s="76"/>
      <c r="M85" s="76"/>
      <c r="N85" s="76"/>
      <c r="O85" s="76"/>
      <c r="P85" s="76"/>
      <c r="Q85" s="76"/>
      <c r="R85" s="76"/>
      <c r="S85" s="76"/>
      <c r="T85" s="76"/>
      <c r="U85" s="75"/>
      <c r="V85" s="76"/>
      <c r="W85" s="76"/>
      <c r="X85" s="76"/>
    </row>
    <row r="86" spans="1:24" s="113" customFormat="1">
      <c r="A86" s="76"/>
      <c r="B86" s="76"/>
      <c r="C86" s="76"/>
      <c r="D86" s="76"/>
      <c r="E86" s="76"/>
      <c r="F86" s="76"/>
      <c r="G86" s="76"/>
      <c r="H86" s="76"/>
      <c r="I86" s="76"/>
      <c r="J86" s="76"/>
      <c r="K86" s="76"/>
      <c r="L86" s="76"/>
      <c r="M86" s="76"/>
      <c r="N86" s="76"/>
      <c r="O86" s="76"/>
      <c r="P86" s="76"/>
      <c r="Q86" s="76"/>
      <c r="R86" s="76"/>
      <c r="S86" s="76"/>
      <c r="T86" s="76"/>
      <c r="U86" s="75"/>
      <c r="V86" s="76"/>
      <c r="W86" s="76"/>
      <c r="X86" s="76"/>
    </row>
    <row r="87" spans="1:24" s="113" customFormat="1">
      <c r="A87" s="76"/>
      <c r="B87" s="76"/>
      <c r="C87" s="76"/>
      <c r="D87" s="76"/>
      <c r="E87" s="76"/>
      <c r="F87" s="76"/>
      <c r="G87" s="76"/>
      <c r="H87" s="76"/>
      <c r="I87" s="76"/>
      <c r="J87" s="76"/>
      <c r="K87" s="76"/>
      <c r="L87" s="76"/>
      <c r="M87" s="76"/>
      <c r="N87" s="76"/>
      <c r="O87" s="76"/>
      <c r="P87" s="76"/>
      <c r="Q87" s="76"/>
      <c r="R87" s="76"/>
      <c r="S87" s="76"/>
      <c r="T87" s="76"/>
      <c r="U87" s="75"/>
      <c r="V87" s="76"/>
      <c r="W87" s="76"/>
      <c r="X87" s="76"/>
    </row>
    <row r="88" spans="1:24" s="113" customFormat="1">
      <c r="A88" s="76"/>
      <c r="B88" s="76"/>
      <c r="C88" s="76"/>
      <c r="D88" s="76"/>
      <c r="E88" s="76"/>
      <c r="F88" s="76"/>
      <c r="G88" s="76"/>
      <c r="H88" s="76"/>
      <c r="I88" s="76"/>
      <c r="J88" s="76"/>
      <c r="K88" s="76"/>
      <c r="L88" s="76"/>
      <c r="M88" s="76"/>
      <c r="N88" s="76"/>
      <c r="O88" s="76"/>
      <c r="P88" s="76"/>
      <c r="Q88" s="76"/>
      <c r="R88" s="76"/>
      <c r="S88" s="76"/>
      <c r="T88" s="76"/>
      <c r="U88" s="75"/>
      <c r="V88" s="76"/>
      <c r="W88" s="76"/>
      <c r="X88" s="76"/>
    </row>
    <row r="89" spans="1:24" s="113" customFormat="1">
      <c r="A89" s="76"/>
      <c r="B89" s="76"/>
      <c r="C89" s="76"/>
      <c r="D89" s="76"/>
      <c r="E89" s="76"/>
      <c r="F89" s="76"/>
      <c r="G89" s="76"/>
      <c r="H89" s="76"/>
      <c r="I89" s="76"/>
      <c r="J89" s="76"/>
      <c r="K89" s="76"/>
      <c r="L89" s="76"/>
      <c r="M89" s="76"/>
      <c r="N89" s="76"/>
      <c r="O89" s="76"/>
      <c r="P89" s="76"/>
      <c r="Q89" s="76"/>
      <c r="R89" s="76"/>
      <c r="S89" s="76"/>
      <c r="T89" s="76"/>
      <c r="U89" s="75"/>
      <c r="V89" s="76"/>
      <c r="W89" s="76"/>
      <c r="X89" s="76"/>
    </row>
    <row r="90" spans="1:24" s="113" customFormat="1">
      <c r="A90" s="76"/>
      <c r="B90" s="76"/>
      <c r="C90" s="76"/>
      <c r="D90" s="76"/>
      <c r="E90" s="76"/>
      <c r="F90" s="76"/>
      <c r="G90" s="76"/>
      <c r="H90" s="76"/>
      <c r="I90" s="76"/>
      <c r="J90" s="76"/>
      <c r="K90" s="76"/>
      <c r="L90" s="76"/>
      <c r="M90" s="76"/>
      <c r="N90" s="76"/>
      <c r="O90" s="76"/>
      <c r="P90" s="76"/>
      <c r="Q90" s="76"/>
      <c r="R90" s="76"/>
      <c r="S90" s="76"/>
      <c r="T90" s="76"/>
      <c r="U90" s="75"/>
      <c r="V90" s="76"/>
      <c r="W90" s="76"/>
      <c r="X90" s="76"/>
    </row>
    <row r="91" spans="1:24" s="113" customFormat="1">
      <c r="A91" s="76"/>
      <c r="B91" s="76"/>
      <c r="C91" s="76"/>
      <c r="D91" s="76"/>
      <c r="E91" s="76"/>
      <c r="F91" s="76"/>
      <c r="G91" s="76"/>
      <c r="H91" s="76"/>
      <c r="I91" s="76"/>
      <c r="J91" s="76"/>
      <c r="K91" s="76"/>
      <c r="L91" s="76"/>
      <c r="M91" s="76"/>
      <c r="N91" s="76"/>
      <c r="O91" s="76"/>
      <c r="P91" s="76"/>
      <c r="Q91" s="76"/>
      <c r="R91" s="76"/>
      <c r="S91" s="76"/>
      <c r="T91" s="76"/>
      <c r="U91" s="75"/>
      <c r="V91" s="76"/>
      <c r="W91" s="76"/>
      <c r="X91" s="76"/>
    </row>
    <row r="92" spans="1:24" s="113" customFormat="1">
      <c r="A92" s="76"/>
      <c r="B92" s="76"/>
      <c r="C92" s="76"/>
      <c r="D92" s="76"/>
      <c r="E92" s="76"/>
      <c r="F92" s="76"/>
      <c r="G92" s="76"/>
      <c r="H92" s="76"/>
      <c r="I92" s="76"/>
      <c r="J92" s="76"/>
      <c r="K92" s="76"/>
      <c r="L92" s="76"/>
      <c r="M92" s="76"/>
      <c r="N92" s="76"/>
      <c r="O92" s="76"/>
      <c r="P92" s="76"/>
      <c r="Q92" s="76"/>
      <c r="R92" s="76"/>
      <c r="S92" s="76"/>
      <c r="T92" s="76"/>
      <c r="U92" s="75"/>
      <c r="V92" s="76"/>
      <c r="W92" s="76"/>
      <c r="X92" s="76"/>
    </row>
    <row r="93" spans="1:24" s="113" customFormat="1">
      <c r="A93" s="76"/>
      <c r="B93" s="76"/>
      <c r="C93" s="76"/>
      <c r="D93" s="76"/>
      <c r="E93" s="76"/>
      <c r="F93" s="76"/>
      <c r="G93" s="76"/>
      <c r="H93" s="76"/>
      <c r="I93" s="76"/>
      <c r="J93" s="76"/>
      <c r="K93" s="76"/>
      <c r="L93" s="76"/>
      <c r="M93" s="76"/>
      <c r="N93" s="76"/>
      <c r="O93" s="76"/>
      <c r="P93" s="76"/>
      <c r="Q93" s="76"/>
      <c r="R93" s="76"/>
      <c r="S93" s="76"/>
      <c r="T93" s="76"/>
      <c r="U93" s="75"/>
      <c r="V93" s="76"/>
      <c r="W93" s="76"/>
      <c r="X93" s="76"/>
    </row>
    <row r="94" spans="1:24" s="113" customFormat="1">
      <c r="A94" s="76"/>
      <c r="B94" s="76"/>
      <c r="C94" s="76"/>
      <c r="D94" s="76"/>
      <c r="E94" s="76"/>
      <c r="F94" s="76"/>
      <c r="G94" s="76"/>
      <c r="H94" s="76"/>
      <c r="I94" s="76"/>
      <c r="J94" s="76"/>
      <c r="K94" s="76"/>
      <c r="L94" s="76"/>
      <c r="M94" s="76"/>
      <c r="N94" s="76"/>
      <c r="O94" s="76"/>
      <c r="P94" s="76"/>
      <c r="Q94" s="76"/>
      <c r="R94" s="76"/>
      <c r="S94" s="76"/>
      <c r="T94" s="76"/>
      <c r="U94" s="75"/>
      <c r="V94" s="76"/>
      <c r="W94" s="76"/>
      <c r="X94" s="76"/>
    </row>
    <row r="95" spans="1:24" s="113" customFormat="1">
      <c r="A95" s="76"/>
      <c r="B95" s="76"/>
      <c r="C95" s="76"/>
      <c r="D95" s="76"/>
      <c r="E95" s="76"/>
      <c r="F95" s="76"/>
      <c r="G95" s="76"/>
      <c r="H95" s="76"/>
      <c r="I95" s="76"/>
      <c r="J95" s="76"/>
      <c r="K95" s="76"/>
      <c r="L95" s="76"/>
      <c r="M95" s="76"/>
      <c r="N95" s="76"/>
      <c r="O95" s="76"/>
      <c r="P95" s="76"/>
      <c r="Q95" s="76"/>
      <c r="R95" s="76"/>
      <c r="S95" s="76"/>
      <c r="T95" s="76"/>
      <c r="U95" s="75"/>
      <c r="V95" s="76"/>
      <c r="W95" s="76"/>
      <c r="X95" s="76"/>
    </row>
    <row r="96" spans="1:24" s="113" customFormat="1">
      <c r="A96" s="76"/>
      <c r="B96" s="76"/>
      <c r="C96" s="76"/>
      <c r="D96" s="76"/>
      <c r="E96" s="76"/>
      <c r="F96" s="76"/>
      <c r="G96" s="76"/>
      <c r="H96" s="76"/>
      <c r="I96" s="76"/>
      <c r="J96" s="76"/>
      <c r="K96" s="76"/>
      <c r="L96" s="76"/>
      <c r="M96" s="76"/>
      <c r="N96" s="76"/>
      <c r="O96" s="76"/>
      <c r="P96" s="76"/>
      <c r="Q96" s="76"/>
      <c r="R96" s="76"/>
      <c r="S96" s="76"/>
      <c r="T96" s="76"/>
      <c r="U96" s="75"/>
      <c r="V96" s="76"/>
      <c r="W96" s="76"/>
      <c r="X96" s="76"/>
    </row>
    <row r="97" spans="1:24" s="113" customFormat="1">
      <c r="A97" s="76"/>
      <c r="B97" s="76"/>
      <c r="C97" s="76"/>
      <c r="D97" s="76"/>
      <c r="E97" s="76"/>
      <c r="F97" s="76"/>
      <c r="G97" s="76"/>
      <c r="H97" s="76"/>
      <c r="I97" s="76"/>
      <c r="J97" s="76"/>
      <c r="K97" s="76"/>
      <c r="L97" s="76"/>
      <c r="M97" s="76"/>
      <c r="N97" s="76"/>
      <c r="O97" s="76"/>
      <c r="P97" s="76"/>
      <c r="Q97" s="76"/>
      <c r="R97" s="76"/>
      <c r="S97" s="76"/>
      <c r="T97" s="76"/>
      <c r="U97" s="75"/>
      <c r="V97" s="76"/>
      <c r="W97" s="76"/>
      <c r="X97" s="76"/>
    </row>
    <row r="98" spans="1:24" s="113" customFormat="1">
      <c r="A98" s="76"/>
      <c r="B98" s="76"/>
      <c r="C98" s="76"/>
      <c r="D98" s="76"/>
      <c r="E98" s="76"/>
      <c r="F98" s="76"/>
      <c r="G98" s="76"/>
      <c r="H98" s="76"/>
      <c r="I98" s="76"/>
      <c r="J98" s="76"/>
      <c r="K98" s="76"/>
      <c r="L98" s="76"/>
      <c r="M98" s="76"/>
      <c r="N98" s="76"/>
      <c r="O98" s="76"/>
      <c r="P98" s="76"/>
      <c r="Q98" s="76"/>
      <c r="R98" s="76"/>
      <c r="S98" s="76"/>
      <c r="T98" s="76"/>
      <c r="U98" s="75"/>
      <c r="V98" s="76"/>
      <c r="W98" s="76"/>
      <c r="X98" s="76"/>
    </row>
    <row r="99" spans="1:24" s="113" customFormat="1">
      <c r="A99" s="76"/>
      <c r="B99" s="76"/>
      <c r="C99" s="76"/>
      <c r="D99" s="76"/>
      <c r="E99" s="76"/>
      <c r="F99" s="76"/>
      <c r="G99" s="76"/>
      <c r="H99" s="76"/>
      <c r="I99" s="76"/>
      <c r="J99" s="76"/>
      <c r="K99" s="76"/>
      <c r="L99" s="76"/>
      <c r="M99" s="76"/>
      <c r="N99" s="76"/>
      <c r="O99" s="76"/>
      <c r="P99" s="76"/>
      <c r="Q99" s="76"/>
      <c r="R99" s="76"/>
      <c r="S99" s="76"/>
      <c r="T99" s="76"/>
      <c r="U99" s="75"/>
      <c r="V99" s="76"/>
      <c r="W99" s="76"/>
      <c r="X99" s="76"/>
    </row>
    <row r="100" spans="1:24" s="113" customFormat="1">
      <c r="A100" s="75"/>
      <c r="B100" s="75"/>
      <c r="C100" s="75"/>
      <c r="D100" s="75"/>
      <c r="E100" s="119"/>
      <c r="F100" s="81"/>
      <c r="G100" s="81"/>
      <c r="H100" s="81"/>
      <c r="I100" s="81"/>
      <c r="J100" s="81"/>
      <c r="K100" s="75"/>
      <c r="L100" s="75"/>
      <c r="M100" s="75"/>
      <c r="N100" s="76"/>
      <c r="O100" s="76"/>
      <c r="P100" s="76"/>
      <c r="Q100" s="76"/>
      <c r="R100" s="76"/>
      <c r="S100" s="76"/>
      <c r="T100" s="76"/>
      <c r="U100" s="76"/>
      <c r="V100" s="76"/>
      <c r="W100" s="76"/>
      <c r="X100" s="76"/>
    </row>
    <row r="101" spans="1:24" s="113" customFormat="1">
      <c r="A101" s="75"/>
      <c r="B101" s="75"/>
      <c r="C101" s="75"/>
      <c r="D101" s="75"/>
      <c r="E101" s="119"/>
      <c r="F101" s="81"/>
      <c r="G101" s="81"/>
      <c r="H101" s="81"/>
      <c r="I101" s="81"/>
      <c r="J101" s="81"/>
      <c r="K101" s="75"/>
      <c r="L101" s="75"/>
      <c r="M101" s="75"/>
      <c r="N101" s="76"/>
      <c r="O101" s="76"/>
      <c r="P101" s="76"/>
      <c r="Q101" s="76"/>
      <c r="R101" s="76"/>
      <c r="S101" s="76"/>
      <c r="T101" s="76"/>
      <c r="U101" s="76"/>
      <c r="V101" s="76"/>
      <c r="W101" s="76"/>
      <c r="X101" s="76"/>
    </row>
    <row r="102" spans="1:24" s="113" customFormat="1">
      <c r="A102" s="75"/>
      <c r="B102" s="75"/>
      <c r="C102" s="75"/>
      <c r="D102" s="75"/>
      <c r="E102" s="119"/>
      <c r="F102" s="81"/>
      <c r="G102" s="81"/>
      <c r="H102" s="81"/>
      <c r="I102" s="81"/>
      <c r="J102" s="81"/>
      <c r="K102" s="75"/>
      <c r="L102" s="75"/>
      <c r="M102" s="75"/>
      <c r="N102" s="76"/>
      <c r="O102" s="76"/>
      <c r="P102" s="76"/>
      <c r="Q102" s="76"/>
      <c r="R102" s="76"/>
      <c r="S102" s="76"/>
      <c r="T102" s="76"/>
      <c r="U102" s="76"/>
      <c r="V102" s="76"/>
      <c r="W102" s="76"/>
      <c r="X102" s="76"/>
    </row>
    <row r="103" spans="1:24" s="113" customFormat="1">
      <c r="A103" s="75"/>
      <c r="B103" s="75"/>
      <c r="C103" s="75"/>
      <c r="D103" s="75"/>
      <c r="E103" s="119"/>
      <c r="F103" s="81"/>
      <c r="G103" s="81"/>
      <c r="H103" s="81"/>
      <c r="I103" s="81"/>
      <c r="J103" s="81"/>
      <c r="K103" s="79"/>
      <c r="L103" s="75"/>
      <c r="M103" s="75"/>
      <c r="N103" s="76"/>
      <c r="O103" s="76"/>
      <c r="P103" s="76"/>
      <c r="Q103" s="76"/>
      <c r="R103" s="76"/>
      <c r="S103" s="76"/>
      <c r="T103" s="76"/>
      <c r="U103" s="76"/>
      <c r="V103" s="76"/>
      <c r="W103" s="76"/>
      <c r="X103" s="76"/>
    </row>
    <row r="104" spans="1:24" s="113" customFormat="1">
      <c r="A104" s="75"/>
      <c r="B104" s="75"/>
      <c r="C104" s="75"/>
      <c r="D104" s="75"/>
      <c r="E104" s="119"/>
      <c r="F104" s="81"/>
      <c r="G104" s="81"/>
      <c r="H104" s="81"/>
      <c r="I104" s="81"/>
      <c r="J104" s="81"/>
      <c r="K104" s="81"/>
      <c r="L104" s="81"/>
      <c r="M104" s="75"/>
      <c r="N104" s="76"/>
      <c r="O104" s="76"/>
      <c r="P104" s="76"/>
      <c r="Q104" s="76"/>
      <c r="R104" s="76"/>
      <c r="S104" s="76"/>
      <c r="T104" s="76"/>
      <c r="U104" s="76"/>
      <c r="V104" s="76"/>
      <c r="W104" s="76"/>
      <c r="X104" s="76"/>
    </row>
    <row r="105" spans="1:24" s="113" customFormat="1">
      <c r="A105" s="75"/>
      <c r="B105" s="75"/>
      <c r="C105" s="75"/>
      <c r="D105" s="75"/>
      <c r="E105" s="81"/>
      <c r="F105" s="81"/>
      <c r="G105" s="76"/>
      <c r="H105" s="76"/>
      <c r="I105" s="76"/>
      <c r="J105" s="76"/>
      <c r="K105" s="76"/>
      <c r="L105" s="76"/>
      <c r="M105" s="76"/>
      <c r="N105" s="120"/>
      <c r="O105" s="76"/>
      <c r="P105" s="76"/>
      <c r="Q105" s="76"/>
      <c r="R105" s="76"/>
      <c r="S105" s="76"/>
      <c r="T105" s="76"/>
      <c r="U105" s="76"/>
      <c r="V105" s="76"/>
      <c r="W105" s="76"/>
      <c r="X105" s="76"/>
    </row>
    <row r="106" spans="1:24" s="113" customFormat="1"/>
    <row r="107" spans="1:24" s="113" customFormat="1"/>
    <row r="108" spans="1:24" s="113" customFormat="1"/>
    <row r="109" spans="1:24" s="113" customFormat="1"/>
    <row r="110" spans="1:24" s="113" customFormat="1"/>
    <row r="111" spans="1:24" s="113" customFormat="1"/>
    <row r="112" spans="1:24" s="113" customFormat="1"/>
    <row r="113" s="113" customFormat="1"/>
    <row r="114" s="113" customFormat="1"/>
  </sheetData>
  <sheetProtection algorithmName="SHA-512" hashValue="AZ/qHcCPonlXtHaZy6Su4j8ldiyv7t0GSAHo3/mH4GY1ASPjbKHIG38U9cPS0McX3zdNVEtW5oyi97sJrcR8vw==" saltValue="QJJFfwo3lfCbeBLCAPaCgw==" spinCount="100000" sheet="1" scenarios="1" formatCells="0" formatColumns="0" formatRows="0" insertColumns="0" insertRows="0" deleteColumns="0" deleteRows="0" selectLockedCells="1"/>
  <mergeCells count="181">
    <mergeCell ref="A73:E73"/>
    <mergeCell ref="F73:Q73"/>
    <mergeCell ref="A74:E74"/>
    <mergeCell ref="F74:G74"/>
    <mergeCell ref="H74:K74"/>
    <mergeCell ref="L74:Q74"/>
    <mergeCell ref="G70:Q70"/>
    <mergeCell ref="A70:F70"/>
    <mergeCell ref="A71:E71"/>
    <mergeCell ref="F71:Q71"/>
    <mergeCell ref="A62:Q62"/>
    <mergeCell ref="A63:F63"/>
    <mergeCell ref="G63:Q63"/>
    <mergeCell ref="A64:Q68"/>
    <mergeCell ref="A69:E69"/>
    <mergeCell ref="F69:Q69"/>
    <mergeCell ref="A72:E72"/>
    <mergeCell ref="F72:Q72"/>
    <mergeCell ref="AG59:AN59"/>
    <mergeCell ref="AG60:AN60"/>
    <mergeCell ref="N60:Y60"/>
    <mergeCell ref="A60:D60"/>
    <mergeCell ref="A59:D59"/>
    <mergeCell ref="E59:M59"/>
    <mergeCell ref="E60:M60"/>
    <mergeCell ref="Z60:AF60"/>
    <mergeCell ref="AG47:AN47"/>
    <mergeCell ref="AG48:AN48"/>
    <mergeCell ref="AG55:AN55"/>
    <mergeCell ref="AG56:AN56"/>
    <mergeCell ref="AG57:AN57"/>
    <mergeCell ref="AG58:AN58"/>
    <mergeCell ref="AG49:AN49"/>
    <mergeCell ref="AG50:AN50"/>
    <mergeCell ref="AG51:AN51"/>
    <mergeCell ref="AG52:AN52"/>
    <mergeCell ref="AG53:AN53"/>
    <mergeCell ref="AG54:AN54"/>
    <mergeCell ref="N58:Y58"/>
    <mergeCell ref="N59:Y59"/>
    <mergeCell ref="Z53:AF53"/>
    <mergeCell ref="Z54:AF54"/>
    <mergeCell ref="Z47:AF47"/>
    <mergeCell ref="Z48:AF48"/>
    <mergeCell ref="Z56:AF56"/>
    <mergeCell ref="Z57:AF57"/>
    <mergeCell ref="Z58:AF58"/>
    <mergeCell ref="Z59:AF59"/>
    <mergeCell ref="Z49:AF49"/>
    <mergeCell ref="Z50:AF50"/>
    <mergeCell ref="Z51:AF51"/>
    <mergeCell ref="Z52:AF52"/>
    <mergeCell ref="Z55:AF55"/>
    <mergeCell ref="N54:Y54"/>
    <mergeCell ref="N55:Y55"/>
    <mergeCell ref="N56:Y56"/>
    <mergeCell ref="N57:Y57"/>
    <mergeCell ref="N52:Y52"/>
    <mergeCell ref="N53:Y53"/>
    <mergeCell ref="N50:Y50"/>
    <mergeCell ref="N51:Y51"/>
    <mergeCell ref="AG43:AN43"/>
    <mergeCell ref="AG44:AN44"/>
    <mergeCell ref="AG45:AN45"/>
    <mergeCell ref="AG46:AN46"/>
    <mergeCell ref="Z42:AF42"/>
    <mergeCell ref="Z43:AF43"/>
    <mergeCell ref="Z44:AF44"/>
    <mergeCell ref="Z45:AF45"/>
    <mergeCell ref="Z46:AF46"/>
    <mergeCell ref="A35:F35"/>
    <mergeCell ref="G35:Q35"/>
    <mergeCell ref="R35:X35"/>
    <mergeCell ref="Y35:AN35"/>
    <mergeCell ref="I33:Q33"/>
    <mergeCell ref="R33:X33"/>
    <mergeCell ref="Y33:AN33"/>
    <mergeCell ref="A34:F34"/>
    <mergeCell ref="G34:K34"/>
    <mergeCell ref="L34:M34"/>
    <mergeCell ref="N34:Q34"/>
    <mergeCell ref="R34:X34"/>
    <mergeCell ref="Y34:AG34"/>
    <mergeCell ref="A33:H33"/>
    <mergeCell ref="U11:AN11"/>
    <mergeCell ref="D14:Q14"/>
    <mergeCell ref="U14:AN14"/>
    <mergeCell ref="D29:Q29"/>
    <mergeCell ref="A32:J32"/>
    <mergeCell ref="K32:Q32"/>
    <mergeCell ref="R32:X32"/>
    <mergeCell ref="Y32:AN32"/>
    <mergeCell ref="AH34:AJ34"/>
    <mergeCell ref="AK34:AN34"/>
    <mergeCell ref="V29:AN29"/>
    <mergeCell ref="Y38:AN38"/>
    <mergeCell ref="N40:Y40"/>
    <mergeCell ref="Z40:AF40"/>
    <mergeCell ref="A2:AH4"/>
    <mergeCell ref="E5:F5"/>
    <mergeCell ref="H5:I5"/>
    <mergeCell ref="J5:K5"/>
    <mergeCell ref="Z5:AB5"/>
    <mergeCell ref="AC5:AF5"/>
    <mergeCell ref="AG5:AI5"/>
    <mergeCell ref="D26:Q26"/>
    <mergeCell ref="U26:AN26"/>
    <mergeCell ref="D17:Q17"/>
    <mergeCell ref="U17:AN17"/>
    <mergeCell ref="D20:Q20"/>
    <mergeCell ref="U20:AN20"/>
    <mergeCell ref="D23:Q23"/>
    <mergeCell ref="U23:AN23"/>
    <mergeCell ref="D8:Q8"/>
    <mergeCell ref="U8:AN8"/>
    <mergeCell ref="AJ5:AM5"/>
    <mergeCell ref="D7:Q7"/>
    <mergeCell ref="U7:AN7"/>
    <mergeCell ref="D11:Q11"/>
    <mergeCell ref="A52:D52"/>
    <mergeCell ref="N42:Y42"/>
    <mergeCell ref="Z41:AF41"/>
    <mergeCell ref="AG41:AN41"/>
    <mergeCell ref="A36:F36"/>
    <mergeCell ref="G36:Q36"/>
    <mergeCell ref="R36:X36"/>
    <mergeCell ref="Y36:AN36"/>
    <mergeCell ref="A37:G37"/>
    <mergeCell ref="H37:Q37"/>
    <mergeCell ref="R37:Z37"/>
    <mergeCell ref="AA37:AN37"/>
    <mergeCell ref="A42:D42"/>
    <mergeCell ref="E42:M42"/>
    <mergeCell ref="A41:D41"/>
    <mergeCell ref="A40:D40"/>
    <mergeCell ref="E40:M40"/>
    <mergeCell ref="E41:M41"/>
    <mergeCell ref="A38:F38"/>
    <mergeCell ref="G38:Q38"/>
    <mergeCell ref="AG42:AN42"/>
    <mergeCell ref="R38:X38"/>
    <mergeCell ref="A51:D51"/>
    <mergeCell ref="A50:D50"/>
    <mergeCell ref="A47:D47"/>
    <mergeCell ref="A46:D46"/>
    <mergeCell ref="A45:D45"/>
    <mergeCell ref="A49:D49"/>
    <mergeCell ref="A48:D48"/>
    <mergeCell ref="A44:D44"/>
    <mergeCell ref="A43:D43"/>
    <mergeCell ref="N47:Y47"/>
    <mergeCell ref="N48:Y48"/>
    <mergeCell ref="N49:Y49"/>
    <mergeCell ref="N43:Y43"/>
    <mergeCell ref="N44:Y44"/>
    <mergeCell ref="N45:Y45"/>
    <mergeCell ref="N46:Y46"/>
    <mergeCell ref="AG40:AN40"/>
    <mergeCell ref="N41:Y41"/>
    <mergeCell ref="A58:D58"/>
    <mergeCell ref="A57:D57"/>
    <mergeCell ref="A56:D56"/>
    <mergeCell ref="E43:M43"/>
    <mergeCell ref="E44:M44"/>
    <mergeCell ref="E45:M45"/>
    <mergeCell ref="E46:M46"/>
    <mergeCell ref="E47:M47"/>
    <mergeCell ref="E48:M48"/>
    <mergeCell ref="E56:M56"/>
    <mergeCell ref="E57:M57"/>
    <mergeCell ref="E58:M58"/>
    <mergeCell ref="E51:M51"/>
    <mergeCell ref="E52:M52"/>
    <mergeCell ref="E53:M53"/>
    <mergeCell ref="E49:M49"/>
    <mergeCell ref="E54:M54"/>
    <mergeCell ref="E55:M55"/>
    <mergeCell ref="E50:M50"/>
    <mergeCell ref="A55:D55"/>
    <mergeCell ref="A54:D54"/>
    <mergeCell ref="A53:D53"/>
  </mergeCells>
  <phoneticPr fontId="40" type="noConversion"/>
  <printOptions horizontalCentered="1"/>
  <pageMargins left="0.6692913385826772" right="0.47244094488188981" top="0.59055118110236227" bottom="0.31496062992125984" header="0.27559055118110237" footer="0.19685039370078741"/>
  <pageSetup paperSize="9" scale="67" orientation="portrait" r:id="rId1"/>
  <headerFooter>
    <oddHeader>&amp;R&amp;G</oddHeader>
    <oddFooter>&amp;LMHG-PU-F-0019&amp;CPPA-Template ; Rev.: 01/2019&amp;RJ.-U. Liedtke / PU-SD-GA</oddFooter>
  </headerFooter>
  <legacyDrawingHF r:id="rId2"/>
  <extLst>
    <ext xmlns:mx="http://schemas.microsoft.com/office/mac/excel/2008/main" uri="{64002731-A6B0-56B0-2670-7721B7C09600}">
      <mx:PLV Mode="1"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7">
    <pageSetUpPr fitToPage="1"/>
  </sheetPr>
  <dimension ref="A1:AU75"/>
  <sheetViews>
    <sheetView showGridLines="0" zoomScaleNormal="100" workbookViewId="0">
      <selection activeCell="A4" sqref="A4:N7"/>
    </sheetView>
  </sheetViews>
  <sheetFormatPr baseColWidth="10" defaultColWidth="9.140625" defaultRowHeight="12.75"/>
  <cols>
    <col min="1" max="47" width="3.42578125" style="624" customWidth="1"/>
    <col min="48" max="16384" width="9.140625" style="624"/>
  </cols>
  <sheetData>
    <row r="1" spans="1:47">
      <c r="A1" s="1460"/>
      <c r="B1" s="1460"/>
      <c r="C1" s="1460"/>
      <c r="D1" s="1460"/>
      <c r="E1" s="1460"/>
      <c r="F1" s="1460"/>
      <c r="G1" s="1460"/>
      <c r="H1" s="1460"/>
      <c r="I1" s="1460"/>
      <c r="J1" s="1460"/>
      <c r="K1" s="1460"/>
      <c r="L1" s="1460"/>
      <c r="M1" s="1460"/>
      <c r="N1" s="1460"/>
      <c r="O1" s="1460"/>
      <c r="P1" s="1460"/>
      <c r="Q1" s="1460"/>
      <c r="R1" s="1460"/>
      <c r="S1" s="1460"/>
      <c r="T1" s="1460"/>
      <c r="U1" s="1460"/>
      <c r="V1" s="1460"/>
      <c r="W1" s="1460"/>
      <c r="X1" s="1460"/>
      <c r="Y1" s="1460"/>
      <c r="Z1" s="1460"/>
      <c r="AA1" s="1460"/>
      <c r="AB1" s="1460"/>
      <c r="AC1" s="1460"/>
      <c r="AD1" s="1460"/>
      <c r="AE1" s="1460"/>
      <c r="AF1" s="1460"/>
      <c r="AG1" s="1460"/>
      <c r="AH1" s="1460"/>
      <c r="AI1" s="1460"/>
      <c r="AJ1" s="1460"/>
      <c r="AK1" s="1460"/>
      <c r="AL1" s="1460"/>
      <c r="AM1" s="1460"/>
      <c r="AN1" s="1460"/>
      <c r="AO1" s="1460"/>
      <c r="AP1" s="1460"/>
      <c r="AQ1" s="1460"/>
      <c r="AR1" s="1460"/>
      <c r="AS1" s="1460"/>
      <c r="AT1" s="1460"/>
      <c r="AU1" s="1460"/>
    </row>
    <row r="2" spans="1:47" ht="13.5" thickBot="1">
      <c r="A2" s="1461"/>
      <c r="B2" s="1461"/>
      <c r="C2" s="1461"/>
      <c r="D2" s="1461"/>
      <c r="E2" s="1461"/>
      <c r="F2" s="1461"/>
      <c r="G2" s="1461"/>
      <c r="H2" s="1461"/>
      <c r="I2" s="1461"/>
      <c r="J2" s="1461"/>
      <c r="K2" s="1461"/>
      <c r="L2" s="1461"/>
      <c r="M2" s="1461"/>
      <c r="N2" s="1461"/>
      <c r="O2" s="1461"/>
      <c r="P2" s="1461"/>
      <c r="Q2" s="1461"/>
      <c r="R2" s="1461"/>
      <c r="S2" s="1461"/>
      <c r="T2" s="1461"/>
      <c r="U2" s="1461"/>
      <c r="V2" s="1461"/>
      <c r="W2" s="1461"/>
      <c r="X2" s="1461"/>
      <c r="Y2" s="1461"/>
      <c r="Z2" s="1461"/>
      <c r="AA2" s="1461"/>
      <c r="AB2" s="1461"/>
      <c r="AC2" s="1461"/>
      <c r="AD2" s="1461"/>
      <c r="AE2" s="1461"/>
      <c r="AF2" s="1461"/>
      <c r="AG2" s="1461"/>
      <c r="AH2" s="1461"/>
      <c r="AI2" s="1461"/>
      <c r="AJ2" s="1461"/>
      <c r="AK2" s="1461"/>
      <c r="AL2" s="1461"/>
      <c r="AM2" s="1461"/>
      <c r="AN2" s="1461"/>
      <c r="AO2" s="1461"/>
      <c r="AP2" s="1461"/>
      <c r="AQ2" s="1461"/>
      <c r="AR2" s="1461"/>
      <c r="AS2" s="1461"/>
      <c r="AT2" s="1461"/>
      <c r="AU2" s="1461"/>
    </row>
    <row r="3" spans="1:47" ht="16.5" customHeight="1">
      <c r="A3" s="1399" t="str">
        <f>Cover!E6</f>
        <v>Sender:</v>
      </c>
      <c r="B3" s="1400"/>
      <c r="C3" s="1400"/>
      <c r="D3" s="1400"/>
      <c r="E3" s="1400"/>
      <c r="F3" s="1400"/>
      <c r="G3" s="1400"/>
      <c r="H3" s="1400"/>
      <c r="I3" s="1400"/>
      <c r="J3" s="1400"/>
      <c r="K3" s="1400"/>
      <c r="L3" s="1400"/>
      <c r="M3" s="1400"/>
      <c r="N3" s="1462"/>
      <c r="O3" s="1472" t="str">
        <f>VLOOKUP("softwareprüfbericht",Translations!$A:$T,MATCH(Cover!DR19,Translations!A2:P2,0),0)</f>
        <v>Software Test Report</v>
      </c>
      <c r="P3" s="1472"/>
      <c r="Q3" s="1472"/>
      <c r="R3" s="1472"/>
      <c r="S3" s="1472"/>
      <c r="T3" s="1472"/>
      <c r="U3" s="1472"/>
      <c r="V3" s="1472"/>
      <c r="W3" s="1472"/>
      <c r="X3" s="1472"/>
      <c r="Y3" s="1472"/>
      <c r="Z3" s="1472"/>
      <c r="AA3" s="1472"/>
      <c r="AB3" s="1472"/>
      <c r="AC3" s="1472"/>
      <c r="AD3" s="1472"/>
      <c r="AE3" s="1472"/>
      <c r="AF3" s="1472"/>
      <c r="AG3" s="1472"/>
      <c r="AH3" s="1472"/>
      <c r="AI3" s="1466" t="str">
        <f>VLOOKUP("Erstellungsdatum:",Translations!$A:$T,MATCH(Cover!DR19,Translations!A2:P2,0),0)</f>
        <v>Date of issue:</v>
      </c>
      <c r="AJ3" s="1400"/>
      <c r="AK3" s="1400"/>
      <c r="AL3" s="1400"/>
      <c r="AM3" s="1400"/>
      <c r="AN3" s="1400"/>
      <c r="AO3" s="1400"/>
      <c r="AP3" s="1400"/>
      <c r="AQ3" s="1400"/>
      <c r="AR3" s="1400"/>
      <c r="AS3" s="1400"/>
      <c r="AT3" s="1400"/>
      <c r="AU3" s="1467"/>
    </row>
    <row r="4" spans="1:47" s="625" customFormat="1" ht="15" customHeight="1">
      <c r="A4" s="973"/>
      <c r="B4" s="974"/>
      <c r="C4" s="974"/>
      <c r="D4" s="974"/>
      <c r="E4" s="974"/>
      <c r="F4" s="974"/>
      <c r="G4" s="974"/>
      <c r="H4" s="974"/>
      <c r="I4" s="974"/>
      <c r="J4" s="974"/>
      <c r="K4" s="974"/>
      <c r="L4" s="974"/>
      <c r="M4" s="974"/>
      <c r="N4" s="1428"/>
      <c r="O4" s="1473"/>
      <c r="P4" s="1473"/>
      <c r="Q4" s="1473"/>
      <c r="R4" s="1473"/>
      <c r="S4" s="1473"/>
      <c r="T4" s="1473"/>
      <c r="U4" s="1473"/>
      <c r="V4" s="1473"/>
      <c r="W4" s="1473"/>
      <c r="X4" s="1473"/>
      <c r="Y4" s="1473"/>
      <c r="Z4" s="1473"/>
      <c r="AA4" s="1473"/>
      <c r="AB4" s="1473"/>
      <c r="AC4" s="1473"/>
      <c r="AD4" s="1473"/>
      <c r="AE4" s="1473"/>
      <c r="AF4" s="1473"/>
      <c r="AG4" s="1473"/>
      <c r="AH4" s="1473"/>
      <c r="AI4" s="1432"/>
      <c r="AJ4" s="1433"/>
      <c r="AK4" s="1433"/>
      <c r="AL4" s="1433"/>
      <c r="AM4" s="1433"/>
      <c r="AN4" s="1433"/>
      <c r="AO4" s="1433"/>
      <c r="AP4" s="1433"/>
      <c r="AQ4" s="1433"/>
      <c r="AR4" s="1433"/>
      <c r="AS4" s="1433"/>
      <c r="AT4" s="1433"/>
      <c r="AU4" s="1434"/>
    </row>
    <row r="5" spans="1:47" s="625" customFormat="1" ht="15" customHeight="1">
      <c r="A5" s="973"/>
      <c r="B5" s="974"/>
      <c r="C5" s="974"/>
      <c r="D5" s="974"/>
      <c r="E5" s="974"/>
      <c r="F5" s="974"/>
      <c r="G5" s="974"/>
      <c r="H5" s="974"/>
      <c r="I5" s="974"/>
      <c r="J5" s="974"/>
      <c r="K5" s="974"/>
      <c r="L5" s="974"/>
      <c r="M5" s="974"/>
      <c r="N5" s="1428"/>
      <c r="O5" s="1473"/>
      <c r="P5" s="1473"/>
      <c r="Q5" s="1473"/>
      <c r="R5" s="1473"/>
      <c r="S5" s="1473"/>
      <c r="T5" s="1473"/>
      <c r="U5" s="1473"/>
      <c r="V5" s="1473"/>
      <c r="W5" s="1473"/>
      <c r="X5" s="1473"/>
      <c r="Y5" s="1473"/>
      <c r="Z5" s="1473"/>
      <c r="AA5" s="1473"/>
      <c r="AB5" s="1473"/>
      <c r="AC5" s="1473"/>
      <c r="AD5" s="1473"/>
      <c r="AE5" s="1473"/>
      <c r="AF5" s="1473"/>
      <c r="AG5" s="1473"/>
      <c r="AH5" s="1473"/>
      <c r="AI5" s="1432"/>
      <c r="AJ5" s="1433"/>
      <c r="AK5" s="1433"/>
      <c r="AL5" s="1433"/>
      <c r="AM5" s="1433"/>
      <c r="AN5" s="1433"/>
      <c r="AO5" s="1433"/>
      <c r="AP5" s="1433"/>
      <c r="AQ5" s="1433"/>
      <c r="AR5" s="1433"/>
      <c r="AS5" s="1433"/>
      <c r="AT5" s="1433"/>
      <c r="AU5" s="1434"/>
    </row>
    <row r="6" spans="1:47" s="625" customFormat="1" ht="15" customHeight="1">
      <c r="A6" s="973"/>
      <c r="B6" s="974"/>
      <c r="C6" s="974"/>
      <c r="D6" s="974"/>
      <c r="E6" s="974"/>
      <c r="F6" s="974"/>
      <c r="G6" s="974"/>
      <c r="H6" s="974"/>
      <c r="I6" s="974"/>
      <c r="J6" s="974"/>
      <c r="K6" s="974"/>
      <c r="L6" s="974"/>
      <c r="M6" s="974"/>
      <c r="N6" s="1428"/>
      <c r="O6" s="1473"/>
      <c r="P6" s="1473"/>
      <c r="Q6" s="1473"/>
      <c r="R6" s="1473"/>
      <c r="S6" s="1473"/>
      <c r="T6" s="1473"/>
      <c r="U6" s="1473"/>
      <c r="V6" s="1473"/>
      <c r="W6" s="1473"/>
      <c r="X6" s="1473"/>
      <c r="Y6" s="1473"/>
      <c r="Z6" s="1473"/>
      <c r="AA6" s="1473"/>
      <c r="AB6" s="1473"/>
      <c r="AC6" s="1473"/>
      <c r="AD6" s="1473"/>
      <c r="AE6" s="1473"/>
      <c r="AF6" s="1473"/>
      <c r="AG6" s="1473"/>
      <c r="AH6" s="1473"/>
      <c r="AI6" s="1432"/>
      <c r="AJ6" s="1433"/>
      <c r="AK6" s="1433"/>
      <c r="AL6" s="1433"/>
      <c r="AM6" s="1433"/>
      <c r="AN6" s="1433"/>
      <c r="AO6" s="1433"/>
      <c r="AP6" s="1433"/>
      <c r="AQ6" s="1433"/>
      <c r="AR6" s="1433"/>
      <c r="AS6" s="1433"/>
      <c r="AT6" s="1433"/>
      <c r="AU6" s="1434"/>
    </row>
    <row r="7" spans="1:47" s="625" customFormat="1" ht="15.75" customHeight="1">
      <c r="A7" s="1429"/>
      <c r="B7" s="1430"/>
      <c r="C7" s="1430"/>
      <c r="D7" s="1430"/>
      <c r="E7" s="1430"/>
      <c r="F7" s="1430"/>
      <c r="G7" s="1430"/>
      <c r="H7" s="1430"/>
      <c r="I7" s="1430"/>
      <c r="J7" s="1430"/>
      <c r="K7" s="1430"/>
      <c r="L7" s="1430"/>
      <c r="M7" s="1430"/>
      <c r="N7" s="1431"/>
      <c r="O7" s="1473"/>
      <c r="P7" s="1473"/>
      <c r="Q7" s="1473"/>
      <c r="R7" s="1473"/>
      <c r="S7" s="1473"/>
      <c r="T7" s="1473"/>
      <c r="U7" s="1473"/>
      <c r="V7" s="1473"/>
      <c r="W7" s="1473"/>
      <c r="X7" s="1473"/>
      <c r="Y7" s="1473"/>
      <c r="Z7" s="1473"/>
      <c r="AA7" s="1473"/>
      <c r="AB7" s="1473"/>
      <c r="AC7" s="1473"/>
      <c r="AD7" s="1473"/>
      <c r="AE7" s="1473"/>
      <c r="AF7" s="1473"/>
      <c r="AG7" s="1473"/>
      <c r="AH7" s="1473"/>
      <c r="AI7" s="1435"/>
      <c r="AJ7" s="1436"/>
      <c r="AK7" s="1436"/>
      <c r="AL7" s="1436"/>
      <c r="AM7" s="1436"/>
      <c r="AN7" s="1436"/>
      <c r="AO7" s="1436"/>
      <c r="AP7" s="1436"/>
      <c r="AQ7" s="1436"/>
      <c r="AR7" s="1436"/>
      <c r="AS7" s="1436"/>
      <c r="AT7" s="1436"/>
      <c r="AU7" s="1437"/>
    </row>
    <row r="8" spans="1:47" ht="16.5" customHeight="1">
      <c r="A8" s="1463" t="str">
        <f>Cover!M6</f>
        <v>Recipient:</v>
      </c>
      <c r="B8" s="1464"/>
      <c r="C8" s="1464"/>
      <c r="D8" s="1464"/>
      <c r="E8" s="1464"/>
      <c r="F8" s="1464"/>
      <c r="G8" s="1464"/>
      <c r="H8" s="1464"/>
      <c r="I8" s="1464"/>
      <c r="J8" s="1464"/>
      <c r="K8" s="1464"/>
      <c r="L8" s="1464"/>
      <c r="M8" s="1464"/>
      <c r="N8" s="1465"/>
      <c r="O8" s="1474" t="str">
        <f>VLOOKUP("anlage zum ppfb",Translations!$A:$T,MATCH(Cover!DR19,Translations!A2:P2,0),0)</f>
        <v>Addendum to PPAR</v>
      </c>
      <c r="P8" s="1474"/>
      <c r="Q8" s="1474"/>
      <c r="R8" s="1474"/>
      <c r="S8" s="1474"/>
      <c r="T8" s="1474"/>
      <c r="U8" s="1474"/>
      <c r="V8" s="1474"/>
      <c r="W8" s="1474"/>
      <c r="X8" s="1474"/>
      <c r="Y8" s="1474"/>
      <c r="Z8" s="1474"/>
      <c r="AA8" s="1474"/>
      <c r="AB8" s="1474"/>
      <c r="AC8" s="1474"/>
      <c r="AD8" s="1474"/>
      <c r="AE8" s="1474"/>
      <c r="AF8" s="1474"/>
      <c r="AG8" s="1474"/>
      <c r="AH8" s="1474"/>
      <c r="AI8" s="1438"/>
      <c r="AJ8" s="1439"/>
      <c r="AK8" s="1439"/>
      <c r="AL8" s="1439"/>
      <c r="AM8" s="1439"/>
      <c r="AN8" s="1439"/>
      <c r="AO8" s="1439"/>
      <c r="AP8" s="1439"/>
      <c r="AQ8" s="1439"/>
      <c r="AR8" s="1439"/>
      <c r="AS8" s="1439"/>
      <c r="AT8" s="1439"/>
      <c r="AU8" s="1440"/>
    </row>
    <row r="9" spans="1:47" s="625" customFormat="1" ht="15" customHeight="1">
      <c r="A9" s="973"/>
      <c r="B9" s="974"/>
      <c r="C9" s="974"/>
      <c r="D9" s="974"/>
      <c r="E9" s="974"/>
      <c r="F9" s="974"/>
      <c r="G9" s="974"/>
      <c r="H9" s="974"/>
      <c r="I9" s="974"/>
      <c r="J9" s="974"/>
      <c r="K9" s="974"/>
      <c r="L9" s="974"/>
      <c r="M9" s="974"/>
      <c r="N9" s="1428"/>
      <c r="O9" s="1474"/>
      <c r="P9" s="1474"/>
      <c r="Q9" s="1474"/>
      <c r="R9" s="1474"/>
      <c r="S9" s="1474"/>
      <c r="T9" s="1474"/>
      <c r="U9" s="1474"/>
      <c r="V9" s="1474"/>
      <c r="W9" s="1474"/>
      <c r="X9" s="1474"/>
      <c r="Y9" s="1474"/>
      <c r="Z9" s="1474"/>
      <c r="AA9" s="1474"/>
      <c r="AB9" s="1474"/>
      <c r="AC9" s="1474"/>
      <c r="AD9" s="1474"/>
      <c r="AE9" s="1474"/>
      <c r="AF9" s="1474"/>
      <c r="AG9" s="1474"/>
      <c r="AH9" s="1474"/>
      <c r="AI9" s="1438"/>
      <c r="AJ9" s="1439"/>
      <c r="AK9" s="1439"/>
      <c r="AL9" s="1439"/>
      <c r="AM9" s="1439"/>
      <c r="AN9" s="1439"/>
      <c r="AO9" s="1439"/>
      <c r="AP9" s="1439"/>
      <c r="AQ9" s="1439"/>
      <c r="AR9" s="1439"/>
      <c r="AS9" s="1439"/>
      <c r="AT9" s="1439"/>
      <c r="AU9" s="1440"/>
    </row>
    <row r="10" spans="1:47" s="625" customFormat="1" ht="15" customHeight="1">
      <c r="A10" s="973"/>
      <c r="B10" s="974"/>
      <c r="C10" s="974"/>
      <c r="D10" s="974"/>
      <c r="E10" s="974"/>
      <c r="F10" s="974"/>
      <c r="G10" s="974"/>
      <c r="H10" s="974"/>
      <c r="I10" s="974"/>
      <c r="J10" s="974"/>
      <c r="K10" s="974"/>
      <c r="L10" s="974"/>
      <c r="M10" s="974"/>
      <c r="N10" s="1428"/>
      <c r="O10" s="1474"/>
      <c r="P10" s="1474"/>
      <c r="Q10" s="1474"/>
      <c r="R10" s="1474"/>
      <c r="S10" s="1474"/>
      <c r="T10" s="1474"/>
      <c r="U10" s="1474"/>
      <c r="V10" s="1474"/>
      <c r="W10" s="1474"/>
      <c r="X10" s="1474"/>
      <c r="Y10" s="1474"/>
      <c r="Z10" s="1474"/>
      <c r="AA10" s="1474"/>
      <c r="AB10" s="1474"/>
      <c r="AC10" s="1474"/>
      <c r="AD10" s="1474"/>
      <c r="AE10" s="1474"/>
      <c r="AF10" s="1474"/>
      <c r="AG10" s="1474"/>
      <c r="AH10" s="1474"/>
      <c r="AI10" s="1438"/>
      <c r="AJ10" s="1439"/>
      <c r="AK10" s="1439"/>
      <c r="AL10" s="1439"/>
      <c r="AM10" s="1439"/>
      <c r="AN10" s="1439"/>
      <c r="AO10" s="1439"/>
      <c r="AP10" s="1439"/>
      <c r="AQ10" s="1439"/>
      <c r="AR10" s="1439"/>
      <c r="AS10" s="1439"/>
      <c r="AT10" s="1439"/>
      <c r="AU10" s="1440"/>
    </row>
    <row r="11" spans="1:47" s="625" customFormat="1" ht="15.75" customHeight="1" thickBot="1">
      <c r="A11" s="982"/>
      <c r="B11" s="983"/>
      <c r="C11" s="983"/>
      <c r="D11" s="983"/>
      <c r="E11" s="983"/>
      <c r="F11" s="983"/>
      <c r="G11" s="983"/>
      <c r="H11" s="983"/>
      <c r="I11" s="983"/>
      <c r="J11" s="983"/>
      <c r="K11" s="983"/>
      <c r="L11" s="983"/>
      <c r="M11" s="983"/>
      <c r="N11" s="1444"/>
      <c r="O11" s="1475"/>
      <c r="P11" s="1475"/>
      <c r="Q11" s="1475"/>
      <c r="R11" s="1475"/>
      <c r="S11" s="1475"/>
      <c r="T11" s="1475"/>
      <c r="U11" s="1475"/>
      <c r="V11" s="1475"/>
      <c r="W11" s="1475"/>
      <c r="X11" s="1475"/>
      <c r="Y11" s="1475"/>
      <c r="Z11" s="1475"/>
      <c r="AA11" s="1475"/>
      <c r="AB11" s="1475"/>
      <c r="AC11" s="1475"/>
      <c r="AD11" s="1475"/>
      <c r="AE11" s="1475"/>
      <c r="AF11" s="1475"/>
      <c r="AG11" s="1475"/>
      <c r="AH11" s="1475"/>
      <c r="AI11" s="1441"/>
      <c r="AJ11" s="1442"/>
      <c r="AK11" s="1442"/>
      <c r="AL11" s="1442"/>
      <c r="AM11" s="1442"/>
      <c r="AN11" s="1442"/>
      <c r="AO11" s="1442"/>
      <c r="AP11" s="1442"/>
      <c r="AQ11" s="1442"/>
      <c r="AR11" s="1442"/>
      <c r="AS11" s="1442"/>
      <c r="AT11" s="1442"/>
      <c r="AU11" s="1443"/>
    </row>
    <row r="12" spans="1:47" ht="13.5" thickBot="1"/>
    <row r="13" spans="1:47" ht="16.5" customHeight="1">
      <c r="A13" s="1470" t="str">
        <f>VLOOKUP("ysachnummery",Translations!$A:$T,MATCH(Cover!DR19,Translations!A2:P2,0),0)</f>
        <v>Part number:</v>
      </c>
      <c r="B13" s="1468"/>
      <c r="C13" s="1468"/>
      <c r="D13" s="1468"/>
      <c r="E13" s="1468"/>
      <c r="F13" s="1468"/>
      <c r="G13" s="1468"/>
      <c r="H13" s="1468"/>
      <c r="I13" s="1468"/>
      <c r="J13" s="1468"/>
      <c r="K13" s="1468"/>
      <c r="L13" s="1468"/>
      <c r="M13" s="1468"/>
      <c r="N13" s="1468"/>
      <c r="O13" s="1468"/>
      <c r="P13" s="1468"/>
      <c r="Q13" s="1468"/>
      <c r="R13" s="1468"/>
      <c r="S13" s="1468"/>
      <c r="T13" s="1468"/>
      <c r="U13" s="1468"/>
      <c r="V13" s="1468"/>
      <c r="W13" s="1471"/>
      <c r="X13" s="1468" t="str">
        <f>VLOOKUP("ZGS",Translations!$A:$T,MATCH(Cover!DR19,Translations!A2:P2,0),0)</f>
        <v>Drawing and geometry status (ZGS):</v>
      </c>
      <c r="Y13" s="1468"/>
      <c r="Z13" s="1468"/>
      <c r="AA13" s="1468"/>
      <c r="AB13" s="1468"/>
      <c r="AC13" s="1468"/>
      <c r="AD13" s="1468"/>
      <c r="AE13" s="1468"/>
      <c r="AF13" s="1468"/>
      <c r="AG13" s="1468"/>
      <c r="AH13" s="1468"/>
      <c r="AI13" s="1468"/>
      <c r="AJ13" s="1468"/>
      <c r="AK13" s="1468"/>
      <c r="AL13" s="1468"/>
      <c r="AM13" s="1468"/>
      <c r="AN13" s="1468"/>
      <c r="AO13" s="1468"/>
      <c r="AP13" s="1468"/>
      <c r="AQ13" s="1468"/>
      <c r="AR13" s="1468"/>
      <c r="AS13" s="1468"/>
      <c r="AT13" s="1468"/>
      <c r="AU13" s="1469"/>
    </row>
    <row r="14" spans="1:47" ht="15" customHeight="1">
      <c r="A14" s="1445"/>
      <c r="B14" s="1433"/>
      <c r="C14" s="1433"/>
      <c r="D14" s="1433"/>
      <c r="E14" s="1433"/>
      <c r="F14" s="1433"/>
      <c r="G14" s="1433"/>
      <c r="H14" s="1433"/>
      <c r="I14" s="1433"/>
      <c r="J14" s="1433"/>
      <c r="K14" s="1433"/>
      <c r="L14" s="1433"/>
      <c r="M14" s="1433"/>
      <c r="N14" s="1433"/>
      <c r="O14" s="1433"/>
      <c r="P14" s="1433"/>
      <c r="Q14" s="1433"/>
      <c r="R14" s="1433"/>
      <c r="S14" s="1433"/>
      <c r="T14" s="1433"/>
      <c r="U14" s="1433"/>
      <c r="V14" s="1433"/>
      <c r="W14" s="1446"/>
      <c r="X14" s="1433"/>
      <c r="Y14" s="1433"/>
      <c r="Z14" s="1433"/>
      <c r="AA14" s="1433"/>
      <c r="AB14" s="1433"/>
      <c r="AC14" s="1433"/>
      <c r="AD14" s="1433"/>
      <c r="AE14" s="1433"/>
      <c r="AF14" s="1433"/>
      <c r="AG14" s="1433"/>
      <c r="AH14" s="1433"/>
      <c r="AI14" s="1433"/>
      <c r="AJ14" s="1433"/>
      <c r="AK14" s="1433"/>
      <c r="AL14" s="1433"/>
      <c r="AM14" s="1433"/>
      <c r="AN14" s="1433"/>
      <c r="AO14" s="1433"/>
      <c r="AP14" s="1433"/>
      <c r="AQ14" s="1433"/>
      <c r="AR14" s="1433"/>
      <c r="AS14" s="1433"/>
      <c r="AT14" s="1433"/>
      <c r="AU14" s="1434"/>
    </row>
    <row r="15" spans="1:47" ht="13.5" thickBot="1">
      <c r="A15" s="1447"/>
      <c r="B15" s="1448"/>
      <c r="C15" s="1448"/>
      <c r="D15" s="1448"/>
      <c r="E15" s="1448"/>
      <c r="F15" s="1448"/>
      <c r="G15" s="1448"/>
      <c r="H15" s="1448"/>
      <c r="I15" s="1448"/>
      <c r="J15" s="1448"/>
      <c r="K15" s="1448"/>
      <c r="L15" s="1448"/>
      <c r="M15" s="1448"/>
      <c r="N15" s="1448"/>
      <c r="O15" s="1448"/>
      <c r="P15" s="1448"/>
      <c r="Q15" s="1448"/>
      <c r="R15" s="1448"/>
      <c r="S15" s="1448"/>
      <c r="T15" s="1448"/>
      <c r="U15" s="1448"/>
      <c r="V15" s="1448"/>
      <c r="W15" s="1449"/>
      <c r="X15" s="1448"/>
      <c r="Y15" s="1448"/>
      <c r="Z15" s="1448"/>
      <c r="AA15" s="1448"/>
      <c r="AB15" s="1448"/>
      <c r="AC15" s="1448"/>
      <c r="AD15" s="1448"/>
      <c r="AE15" s="1448"/>
      <c r="AF15" s="1448"/>
      <c r="AG15" s="1448"/>
      <c r="AH15" s="1448"/>
      <c r="AI15" s="1448"/>
      <c r="AJ15" s="1448"/>
      <c r="AK15" s="1448"/>
      <c r="AL15" s="1448"/>
      <c r="AM15" s="1448"/>
      <c r="AN15" s="1448"/>
      <c r="AO15" s="1448"/>
      <c r="AP15" s="1448"/>
      <c r="AQ15" s="1448"/>
      <c r="AR15" s="1448"/>
      <c r="AS15" s="1448"/>
      <c r="AT15" s="1448"/>
      <c r="AU15" s="1450"/>
    </row>
    <row r="16" spans="1:47" ht="13.5" thickBot="1"/>
    <row r="17" spans="1:47" ht="16.5" customHeight="1">
      <c r="A17" s="626"/>
      <c r="B17" s="627"/>
      <c r="C17" s="627"/>
      <c r="D17" s="627"/>
      <c r="E17" s="627"/>
      <c r="F17" s="627"/>
      <c r="G17" s="1401" t="str">
        <f>VLOOKUP("Firma:",Translations!$A:$T,MATCH(Cover!DR19,Translations!A2:P2,0),0)</f>
        <v>Company:</v>
      </c>
      <c r="H17" s="1401"/>
      <c r="I17" s="1401"/>
      <c r="J17" s="1401"/>
      <c r="K17" s="1401"/>
      <c r="L17" s="1401"/>
      <c r="M17" s="1401"/>
      <c r="N17" s="1401"/>
      <c r="O17" s="1401"/>
      <c r="P17" s="1401" t="str">
        <f>VLOOKUP("Abteilung",Translations!$A:$T,MATCH(Cover!DR19,Translations!A2:P2,0),0)</f>
        <v>Department:</v>
      </c>
      <c r="Q17" s="1401"/>
      <c r="R17" s="1401"/>
      <c r="S17" s="1401"/>
      <c r="T17" s="1401"/>
      <c r="U17" s="1401"/>
      <c r="V17" s="1401" t="str">
        <f>VLOOKUP("Name",Translations!$A:$T,MATCH(Cover!DR19,Translations!A2:P2,0),0)</f>
        <v>Name:</v>
      </c>
      <c r="W17" s="1401"/>
      <c r="X17" s="1401"/>
      <c r="Y17" s="1401"/>
      <c r="Z17" s="1401"/>
      <c r="AA17" s="1401"/>
      <c r="AB17" s="1401"/>
      <c r="AC17" s="1401"/>
      <c r="AD17" s="1401"/>
      <c r="AE17" s="1401"/>
      <c r="AF17" s="1401" t="str">
        <f>VLOOKUP("Telefon",Translations!$A:$T,MATCH(Cover!DR19,Translations!A2:P2,0),0)</f>
        <v>Phone:</v>
      </c>
      <c r="AG17" s="1401"/>
      <c r="AH17" s="1401"/>
      <c r="AI17" s="1401"/>
      <c r="AJ17" s="1401"/>
      <c r="AK17" s="1401"/>
      <c r="AL17" s="1401"/>
      <c r="AM17" s="1401"/>
      <c r="AN17" s="1401" t="str">
        <f>VLOOKUP("Unterschrift",Translations!$A:$T,MATCH(Cover!DR19,Translations!A2:P2,0),0)</f>
        <v>Signature:</v>
      </c>
      <c r="AO17" s="1401"/>
      <c r="AP17" s="1401"/>
      <c r="AQ17" s="1401"/>
      <c r="AR17" s="1401"/>
      <c r="AS17" s="1401"/>
      <c r="AT17" s="1401"/>
      <c r="AU17" s="1414"/>
    </row>
    <row r="18" spans="1:47" ht="30.75" customHeight="1">
      <c r="A18" s="1415" t="str">
        <f>VLOOKUP("Ersteller:",Translations!$A:$T,MATCH(Cover!DR19,Translations!A2:P2,0),0)</f>
        <v>Produced by:</v>
      </c>
      <c r="B18" s="1416"/>
      <c r="C18" s="1416"/>
      <c r="D18" s="1416"/>
      <c r="E18" s="1416"/>
      <c r="F18" s="1416"/>
      <c r="G18" s="1397"/>
      <c r="H18" s="1397"/>
      <c r="I18" s="1397"/>
      <c r="J18" s="1397"/>
      <c r="K18" s="1397"/>
      <c r="L18" s="1397"/>
      <c r="M18" s="1397"/>
      <c r="N18" s="1397"/>
      <c r="O18" s="1397"/>
      <c r="P18" s="1397"/>
      <c r="Q18" s="1397"/>
      <c r="R18" s="1397"/>
      <c r="S18" s="1397"/>
      <c r="T18" s="1397"/>
      <c r="U18" s="1397"/>
      <c r="V18" s="1394"/>
      <c r="W18" s="1395"/>
      <c r="X18" s="1395"/>
      <c r="Y18" s="1395"/>
      <c r="Z18" s="1395"/>
      <c r="AA18" s="1395"/>
      <c r="AB18" s="1395"/>
      <c r="AC18" s="1395"/>
      <c r="AD18" s="1395"/>
      <c r="AE18" s="1398"/>
      <c r="AF18" s="1394"/>
      <c r="AG18" s="1395"/>
      <c r="AH18" s="1395"/>
      <c r="AI18" s="1395"/>
      <c r="AJ18" s="1395"/>
      <c r="AK18" s="1395"/>
      <c r="AL18" s="1395"/>
      <c r="AM18" s="1398"/>
      <c r="AN18" s="1394"/>
      <c r="AO18" s="1395"/>
      <c r="AP18" s="1395"/>
      <c r="AQ18" s="1395"/>
      <c r="AR18" s="1395"/>
      <c r="AS18" s="1395"/>
      <c r="AT18" s="1395"/>
      <c r="AU18" s="1396"/>
    </row>
    <row r="19" spans="1:47" ht="30.75" customHeight="1" thickBot="1">
      <c r="A19" s="1380" t="str">
        <f>VLOOKUP("Freigabe durch:",Translations!$A:$T,MATCH(Cover!DR19,Translations!A2:P2,0),0)</f>
        <v>Approved by:</v>
      </c>
      <c r="B19" s="1381"/>
      <c r="C19" s="1381"/>
      <c r="D19" s="1381"/>
      <c r="E19" s="1381"/>
      <c r="F19" s="1381"/>
      <c r="G19" s="1392"/>
      <c r="H19" s="1392"/>
      <c r="I19" s="1392"/>
      <c r="J19" s="1392"/>
      <c r="K19" s="1392"/>
      <c r="L19" s="1392"/>
      <c r="M19" s="1392"/>
      <c r="N19" s="1392"/>
      <c r="O19" s="1392"/>
      <c r="P19" s="1392"/>
      <c r="Q19" s="1392"/>
      <c r="R19" s="1392"/>
      <c r="S19" s="1392"/>
      <c r="T19" s="1392"/>
      <c r="U19" s="1392"/>
      <c r="V19" s="1392"/>
      <c r="W19" s="1392"/>
      <c r="X19" s="1392"/>
      <c r="Y19" s="1392"/>
      <c r="Z19" s="1392"/>
      <c r="AA19" s="1392"/>
      <c r="AB19" s="1392"/>
      <c r="AC19" s="1392"/>
      <c r="AD19" s="1392"/>
      <c r="AE19" s="1392"/>
      <c r="AF19" s="1392"/>
      <c r="AG19" s="1392"/>
      <c r="AH19" s="1392"/>
      <c r="AI19" s="1392"/>
      <c r="AJ19" s="1392"/>
      <c r="AK19" s="1392"/>
      <c r="AL19" s="1392"/>
      <c r="AM19" s="1392"/>
      <c r="AN19" s="1392"/>
      <c r="AO19" s="1392"/>
      <c r="AP19" s="1392"/>
      <c r="AQ19" s="1392"/>
      <c r="AR19" s="1392"/>
      <c r="AS19" s="1392"/>
      <c r="AT19" s="1392"/>
      <c r="AU19" s="1393"/>
    </row>
    <row r="20" spans="1:47" ht="13.5" thickBot="1"/>
    <row r="21" spans="1:47" ht="16.5" customHeight="1">
      <c r="A21" s="1470" t="str">
        <f>VLOOKUP("Beschreibung der Software:",Translations!$A:$T,MATCH(Cover!DR19,Translations!A2:P2,0),0)</f>
        <v>Description of the software:</v>
      </c>
      <c r="B21" s="1468"/>
      <c r="C21" s="1468"/>
      <c r="D21" s="1468"/>
      <c r="E21" s="1468"/>
      <c r="F21" s="1468"/>
      <c r="G21" s="1468"/>
      <c r="H21" s="1468"/>
      <c r="I21" s="1468"/>
      <c r="J21" s="1468"/>
      <c r="K21" s="1468"/>
      <c r="L21" s="1468"/>
      <c r="M21" s="1468"/>
      <c r="N21" s="1468"/>
      <c r="O21" s="1468"/>
      <c r="P21" s="1468"/>
      <c r="Q21" s="1468"/>
      <c r="R21" s="1468"/>
      <c r="S21" s="1468"/>
      <c r="T21" s="1468"/>
      <c r="U21" s="1468"/>
      <c r="V21" s="1468"/>
      <c r="W21" s="1468"/>
      <c r="X21" s="1468"/>
      <c r="Y21" s="1468"/>
      <c r="Z21" s="1468"/>
      <c r="AA21" s="1468"/>
      <c r="AB21" s="1468"/>
      <c r="AC21" s="1468"/>
      <c r="AD21" s="1468"/>
      <c r="AE21" s="1468"/>
      <c r="AF21" s="1468"/>
      <c r="AG21" s="1468"/>
      <c r="AH21" s="1468"/>
      <c r="AI21" s="1468"/>
      <c r="AJ21" s="1468"/>
      <c r="AK21" s="1468"/>
      <c r="AL21" s="1468"/>
      <c r="AM21" s="1468"/>
      <c r="AN21" s="1468"/>
      <c r="AO21" s="1468"/>
      <c r="AP21" s="1468"/>
      <c r="AQ21" s="1468"/>
      <c r="AR21" s="1468"/>
      <c r="AS21" s="1468"/>
      <c r="AT21" s="1468"/>
      <c r="AU21" s="1469"/>
    </row>
    <row r="22" spans="1:47" ht="23.25" customHeight="1">
      <c r="A22" s="1445"/>
      <c r="B22" s="1433"/>
      <c r="C22" s="1433"/>
      <c r="D22" s="1433"/>
      <c r="E22" s="1433"/>
      <c r="F22" s="1433"/>
      <c r="G22" s="1433"/>
      <c r="H22" s="1433"/>
      <c r="I22" s="1433"/>
      <c r="J22" s="1433"/>
      <c r="K22" s="1433"/>
      <c r="L22" s="1433"/>
      <c r="M22" s="1433"/>
      <c r="N22" s="1433"/>
      <c r="O22" s="1433"/>
      <c r="P22" s="1433"/>
      <c r="Q22" s="1433"/>
      <c r="R22" s="1433"/>
      <c r="S22" s="1433"/>
      <c r="T22" s="1433"/>
      <c r="U22" s="1433"/>
      <c r="V22" s="1433"/>
      <c r="W22" s="1433"/>
      <c r="X22" s="1433"/>
      <c r="Y22" s="1433"/>
      <c r="Z22" s="1433"/>
      <c r="AA22" s="1433"/>
      <c r="AB22" s="1433"/>
      <c r="AC22" s="1433"/>
      <c r="AD22" s="1433"/>
      <c r="AE22" s="1433"/>
      <c r="AF22" s="1433"/>
      <c r="AG22" s="1433"/>
      <c r="AH22" s="1433"/>
      <c r="AI22" s="1433"/>
      <c r="AJ22" s="1433"/>
      <c r="AK22" s="1433"/>
      <c r="AL22" s="1433"/>
      <c r="AM22" s="1433"/>
      <c r="AN22" s="1433"/>
      <c r="AO22" s="1433"/>
      <c r="AP22" s="1433"/>
      <c r="AQ22" s="1433"/>
      <c r="AR22" s="1433"/>
      <c r="AS22" s="1433"/>
      <c r="AT22" s="1433"/>
      <c r="AU22" s="1434"/>
    </row>
    <row r="23" spans="1:47" ht="23.25" customHeight="1">
      <c r="A23" s="1445"/>
      <c r="B23" s="1433"/>
      <c r="C23" s="1433"/>
      <c r="D23" s="1433"/>
      <c r="E23" s="1433"/>
      <c r="F23" s="1433"/>
      <c r="G23" s="1433"/>
      <c r="H23" s="1433"/>
      <c r="I23" s="1433"/>
      <c r="J23" s="1433"/>
      <c r="K23" s="1433"/>
      <c r="L23" s="1433"/>
      <c r="M23" s="1433"/>
      <c r="N23" s="1433"/>
      <c r="O23" s="1433"/>
      <c r="P23" s="1433"/>
      <c r="Q23" s="1433"/>
      <c r="R23" s="1433"/>
      <c r="S23" s="1433"/>
      <c r="T23" s="1433"/>
      <c r="U23" s="1433"/>
      <c r="V23" s="1433"/>
      <c r="W23" s="1433"/>
      <c r="X23" s="1433"/>
      <c r="Y23" s="1433"/>
      <c r="Z23" s="1433"/>
      <c r="AA23" s="1433"/>
      <c r="AB23" s="1433"/>
      <c r="AC23" s="1433"/>
      <c r="AD23" s="1433"/>
      <c r="AE23" s="1433"/>
      <c r="AF23" s="1433"/>
      <c r="AG23" s="1433"/>
      <c r="AH23" s="1433"/>
      <c r="AI23" s="1433"/>
      <c r="AJ23" s="1433"/>
      <c r="AK23" s="1433"/>
      <c r="AL23" s="1433"/>
      <c r="AM23" s="1433"/>
      <c r="AN23" s="1433"/>
      <c r="AO23" s="1433"/>
      <c r="AP23" s="1433"/>
      <c r="AQ23" s="1433"/>
      <c r="AR23" s="1433"/>
      <c r="AS23" s="1433"/>
      <c r="AT23" s="1433"/>
      <c r="AU23" s="1434"/>
    </row>
    <row r="24" spans="1:47" ht="13.5" thickBot="1">
      <c r="A24" s="1447"/>
      <c r="B24" s="1448"/>
      <c r="C24" s="1448"/>
      <c r="D24" s="1448"/>
      <c r="E24" s="1448"/>
      <c r="F24" s="1448"/>
      <c r="G24" s="1448"/>
      <c r="H24" s="1448"/>
      <c r="I24" s="1448"/>
      <c r="J24" s="1448"/>
      <c r="K24" s="1448"/>
      <c r="L24" s="1448"/>
      <c r="M24" s="1448"/>
      <c r="N24" s="1448"/>
      <c r="O24" s="1448"/>
      <c r="P24" s="1448"/>
      <c r="Q24" s="1448"/>
      <c r="R24" s="1448"/>
      <c r="S24" s="1448"/>
      <c r="T24" s="1448"/>
      <c r="U24" s="1448"/>
      <c r="V24" s="1448"/>
      <c r="W24" s="1448"/>
      <c r="X24" s="1448"/>
      <c r="Y24" s="1448"/>
      <c r="Z24" s="1448"/>
      <c r="AA24" s="1448"/>
      <c r="AB24" s="1448"/>
      <c r="AC24" s="1448"/>
      <c r="AD24" s="1448"/>
      <c r="AE24" s="1448"/>
      <c r="AF24" s="1448"/>
      <c r="AG24" s="1448"/>
      <c r="AH24" s="1448"/>
      <c r="AI24" s="1448"/>
      <c r="AJ24" s="1448"/>
      <c r="AK24" s="1448"/>
      <c r="AL24" s="1448"/>
      <c r="AM24" s="1448"/>
      <c r="AN24" s="1448"/>
      <c r="AO24" s="1448"/>
      <c r="AP24" s="1448"/>
      <c r="AQ24" s="1448"/>
      <c r="AR24" s="1448"/>
      <c r="AS24" s="1448"/>
      <c r="AT24" s="1448"/>
      <c r="AU24" s="1450"/>
    </row>
    <row r="25" spans="1:47" ht="13.5" thickBot="1"/>
    <row r="26" spans="1:47" ht="16.5" customHeight="1">
      <c r="A26" s="1470" t="str">
        <f>VLOOKUP("Diese Software löst folgende Sachnummern ab:",Translations!$A:$T,MATCH(Cover!DR19,Translations!A2:P2,0),0)</f>
        <v>This software replaces the following part nos.:</v>
      </c>
      <c r="B26" s="1468"/>
      <c r="C26" s="1468"/>
      <c r="D26" s="1468"/>
      <c r="E26" s="1468"/>
      <c r="F26" s="1468"/>
      <c r="G26" s="1468"/>
      <c r="H26" s="1468"/>
      <c r="I26" s="1468"/>
      <c r="J26" s="1468"/>
      <c r="K26" s="1468"/>
      <c r="L26" s="1468"/>
      <c r="M26" s="1468"/>
      <c r="N26" s="1468"/>
      <c r="O26" s="1468"/>
      <c r="P26" s="1468"/>
      <c r="Q26" s="1468"/>
      <c r="R26" s="1468"/>
      <c r="S26" s="1468"/>
      <c r="T26" s="1468"/>
      <c r="U26" s="1468"/>
      <c r="V26" s="1468"/>
      <c r="W26" s="1468"/>
      <c r="X26" s="1468"/>
      <c r="Y26" s="1468"/>
      <c r="Z26" s="1468"/>
      <c r="AA26" s="1468"/>
      <c r="AB26" s="1468"/>
      <c r="AC26" s="1468"/>
      <c r="AD26" s="1468"/>
      <c r="AE26" s="1468"/>
      <c r="AF26" s="1468"/>
      <c r="AG26" s="1468"/>
      <c r="AH26" s="1468"/>
      <c r="AI26" s="1468"/>
      <c r="AJ26" s="1468"/>
      <c r="AK26" s="1468"/>
      <c r="AL26" s="1468"/>
      <c r="AM26" s="1468"/>
      <c r="AN26" s="1468"/>
      <c r="AO26" s="1468"/>
      <c r="AP26" s="1468"/>
      <c r="AQ26" s="1468"/>
      <c r="AR26" s="1468"/>
      <c r="AS26" s="1468"/>
      <c r="AT26" s="1468"/>
      <c r="AU26" s="1469"/>
    </row>
    <row r="27" spans="1:47" ht="13.5" customHeight="1">
      <c r="A27" s="1445"/>
      <c r="B27" s="1433"/>
      <c r="C27" s="1433"/>
      <c r="D27" s="1433"/>
      <c r="E27" s="1433"/>
      <c r="F27" s="1433"/>
      <c r="G27" s="1433"/>
      <c r="H27" s="1433"/>
      <c r="I27" s="1433"/>
      <c r="J27" s="1433"/>
      <c r="K27" s="1433"/>
      <c r="L27" s="1433"/>
      <c r="M27" s="1433"/>
      <c r="N27" s="1433"/>
      <c r="O27" s="1433"/>
      <c r="P27" s="1433"/>
      <c r="Q27" s="1433"/>
      <c r="R27" s="1433"/>
      <c r="S27" s="1433"/>
      <c r="T27" s="1433"/>
      <c r="U27" s="1433"/>
      <c r="V27" s="1433"/>
      <c r="W27" s="1433"/>
      <c r="X27" s="1433"/>
      <c r="Y27" s="1433"/>
      <c r="Z27" s="1433"/>
      <c r="AA27" s="1433"/>
      <c r="AB27" s="1433"/>
      <c r="AC27" s="1433"/>
      <c r="AD27" s="1433"/>
      <c r="AE27" s="1433"/>
      <c r="AF27" s="1433"/>
      <c r="AG27" s="1433"/>
      <c r="AH27" s="1433"/>
      <c r="AI27" s="1433"/>
      <c r="AJ27" s="1433"/>
      <c r="AK27" s="1433"/>
      <c r="AL27" s="1433"/>
      <c r="AM27" s="1433"/>
      <c r="AN27" s="1433"/>
      <c r="AO27" s="1433"/>
      <c r="AP27" s="1433"/>
      <c r="AQ27" s="1433"/>
      <c r="AR27" s="1433"/>
      <c r="AS27" s="1433"/>
      <c r="AT27" s="1433"/>
      <c r="AU27" s="1434"/>
    </row>
    <row r="28" spans="1:47" ht="21" customHeight="1">
      <c r="A28" s="1445"/>
      <c r="B28" s="1433"/>
      <c r="C28" s="1433"/>
      <c r="D28" s="1433"/>
      <c r="E28" s="1433"/>
      <c r="F28" s="1433"/>
      <c r="G28" s="1433"/>
      <c r="H28" s="1433"/>
      <c r="I28" s="1433"/>
      <c r="J28" s="1433"/>
      <c r="K28" s="1433"/>
      <c r="L28" s="1433"/>
      <c r="M28" s="1433"/>
      <c r="N28" s="1433"/>
      <c r="O28" s="1433"/>
      <c r="P28" s="1433"/>
      <c r="Q28" s="1433"/>
      <c r="R28" s="1433"/>
      <c r="S28" s="1433"/>
      <c r="T28" s="1433"/>
      <c r="U28" s="1433"/>
      <c r="V28" s="1433"/>
      <c r="W28" s="1433"/>
      <c r="X28" s="1433"/>
      <c r="Y28" s="1433"/>
      <c r="Z28" s="1433"/>
      <c r="AA28" s="1433"/>
      <c r="AB28" s="1433"/>
      <c r="AC28" s="1433"/>
      <c r="AD28" s="1433"/>
      <c r="AE28" s="1433"/>
      <c r="AF28" s="1433"/>
      <c r="AG28" s="1433"/>
      <c r="AH28" s="1433"/>
      <c r="AI28" s="1433"/>
      <c r="AJ28" s="1433"/>
      <c r="AK28" s="1433"/>
      <c r="AL28" s="1433"/>
      <c r="AM28" s="1433"/>
      <c r="AN28" s="1433"/>
      <c r="AO28" s="1433"/>
      <c r="AP28" s="1433"/>
      <c r="AQ28" s="1433"/>
      <c r="AR28" s="1433"/>
      <c r="AS28" s="1433"/>
      <c r="AT28" s="1433"/>
      <c r="AU28" s="1434"/>
    </row>
    <row r="29" spans="1:47" ht="13.5" thickBot="1">
      <c r="A29" s="1447"/>
      <c r="B29" s="1448"/>
      <c r="C29" s="1448"/>
      <c r="D29" s="1448"/>
      <c r="E29" s="1448"/>
      <c r="F29" s="1448"/>
      <c r="G29" s="1448"/>
      <c r="H29" s="1448"/>
      <c r="I29" s="1448"/>
      <c r="J29" s="1448"/>
      <c r="K29" s="1448"/>
      <c r="L29" s="1448"/>
      <c r="M29" s="1448"/>
      <c r="N29" s="1448"/>
      <c r="O29" s="1448"/>
      <c r="P29" s="1448"/>
      <c r="Q29" s="1448"/>
      <c r="R29" s="1448"/>
      <c r="S29" s="1448"/>
      <c r="T29" s="1448"/>
      <c r="U29" s="1448"/>
      <c r="V29" s="1448"/>
      <c r="W29" s="1448"/>
      <c r="X29" s="1448"/>
      <c r="Y29" s="1448"/>
      <c r="Z29" s="1448"/>
      <c r="AA29" s="1448"/>
      <c r="AB29" s="1448"/>
      <c r="AC29" s="1448"/>
      <c r="AD29" s="1448"/>
      <c r="AE29" s="1448"/>
      <c r="AF29" s="1448"/>
      <c r="AG29" s="1448"/>
      <c r="AH29" s="1448"/>
      <c r="AI29" s="1448"/>
      <c r="AJ29" s="1448"/>
      <c r="AK29" s="1448"/>
      <c r="AL29" s="1448"/>
      <c r="AM29" s="1448"/>
      <c r="AN29" s="1448"/>
      <c r="AO29" s="1448"/>
      <c r="AP29" s="1448"/>
      <c r="AQ29" s="1448"/>
      <c r="AR29" s="1448"/>
      <c r="AS29" s="1448"/>
      <c r="AT29" s="1448"/>
      <c r="AU29" s="1450"/>
    </row>
    <row r="30" spans="1:47" ht="13.5" thickBot="1"/>
    <row r="31" spans="1:47" ht="16.5" customHeight="1">
      <c r="A31" s="1402" t="str">
        <f>VLOOKUP("Grund des Softwareprüfbericht",Translations!$A:$T,MATCH(Cover!DR19,Translations!A2:P2,0),0)</f>
        <v>Reason for the software test report</v>
      </c>
      <c r="B31" s="1403"/>
      <c r="C31" s="1403"/>
      <c r="D31" s="1403"/>
      <c r="E31" s="1403"/>
      <c r="F31" s="1403"/>
      <c r="G31" s="1403"/>
      <c r="H31" s="1403"/>
      <c r="I31" s="1403"/>
      <c r="J31" s="1403"/>
      <c r="K31" s="1403"/>
      <c r="L31" s="1403"/>
      <c r="M31" s="1403"/>
      <c r="N31" s="1403"/>
      <c r="O31" s="1403"/>
      <c r="P31" s="1403"/>
      <c r="Q31" s="1403"/>
      <c r="R31" s="1403"/>
      <c r="S31" s="1404"/>
      <c r="T31" s="1405"/>
      <c r="U31" s="1405"/>
      <c r="V31" s="1405"/>
      <c r="W31" s="1405"/>
      <c r="X31" s="1405"/>
      <c r="Y31" s="1405"/>
      <c r="Z31" s="1405"/>
      <c r="AA31" s="1405"/>
      <c r="AB31" s="1405"/>
      <c r="AC31" s="1405"/>
      <c r="AD31" s="1405"/>
      <c r="AE31" s="1405"/>
      <c r="AF31" s="1405"/>
      <c r="AG31" s="1405"/>
      <c r="AH31" s="1405"/>
      <c r="AI31" s="1405"/>
      <c r="AJ31" s="1405"/>
      <c r="AK31" s="1405"/>
      <c r="AL31" s="1405"/>
      <c r="AM31" s="1405"/>
      <c r="AN31" s="1405"/>
      <c r="AO31" s="1405"/>
      <c r="AP31" s="1405"/>
      <c r="AQ31" s="1405"/>
      <c r="AR31" s="1405"/>
      <c r="AS31" s="1405"/>
      <c r="AT31" s="1405"/>
      <c r="AU31" s="1406"/>
    </row>
    <row r="32" spans="1:47" ht="14.25">
      <c r="A32" s="1388" t="str">
        <f>VLOOKUP("Hauptrelease",Translations!$A:$T,MATCH(Cover!DR19,Translations!A2:P2,0),0)</f>
        <v>Main release</v>
      </c>
      <c r="B32" s="1389"/>
      <c r="C32" s="1389"/>
      <c r="D32" s="1389"/>
      <c r="E32" s="1389"/>
      <c r="F32" s="1389"/>
      <c r="G32" s="1389"/>
      <c r="H32" s="1389"/>
      <c r="I32" s="1389"/>
      <c r="J32" s="1389"/>
      <c r="K32" s="1389"/>
      <c r="L32" s="1389"/>
      <c r="M32" s="1389"/>
      <c r="N32" s="1389"/>
      <c r="O32" s="1389"/>
      <c r="P32" s="1389"/>
      <c r="Q32" s="1389"/>
      <c r="R32" s="1389"/>
      <c r="S32" s="1382"/>
      <c r="T32" s="1383"/>
      <c r="U32" s="1383"/>
      <c r="V32" s="1383"/>
      <c r="W32" s="1383"/>
      <c r="X32" s="1383"/>
      <c r="Y32" s="1383"/>
      <c r="Z32" s="1383"/>
      <c r="AA32" s="1383"/>
      <c r="AB32" s="1383"/>
      <c r="AC32" s="1383"/>
      <c r="AD32" s="1383"/>
      <c r="AE32" s="1383"/>
      <c r="AF32" s="1383"/>
      <c r="AG32" s="1383"/>
      <c r="AH32" s="1383"/>
      <c r="AI32" s="1383"/>
      <c r="AJ32" s="1383"/>
      <c r="AK32" s="1383"/>
      <c r="AL32" s="1383"/>
      <c r="AM32" s="1383"/>
      <c r="AN32" s="1383"/>
      <c r="AO32" s="1383"/>
      <c r="AP32" s="1383"/>
      <c r="AQ32" s="1383"/>
      <c r="AR32" s="1383"/>
      <c r="AS32" s="1383"/>
      <c r="AT32" s="1383"/>
      <c r="AU32" s="1384"/>
    </row>
    <row r="33" spans="1:47" ht="14.25">
      <c r="A33" s="1388" t="str">
        <f>VLOOKUP("Änderungsrelease",Translations!$A:$T,MATCH(Cover!DR19,Translations!A2:P2,0),0)</f>
        <v>Change release</v>
      </c>
      <c r="B33" s="1389"/>
      <c r="C33" s="1389"/>
      <c r="D33" s="1389"/>
      <c r="E33" s="1389"/>
      <c r="F33" s="1389"/>
      <c r="G33" s="1389"/>
      <c r="H33" s="1389"/>
      <c r="I33" s="1389"/>
      <c r="J33" s="1389"/>
      <c r="K33" s="1389"/>
      <c r="L33" s="1389"/>
      <c r="M33" s="1389"/>
      <c r="N33" s="1389"/>
      <c r="O33" s="1389"/>
      <c r="P33" s="1389"/>
      <c r="Q33" s="1389"/>
      <c r="R33" s="1389"/>
      <c r="S33" s="1382"/>
      <c r="T33" s="1383"/>
      <c r="U33" s="1383"/>
      <c r="V33" s="1383"/>
      <c r="W33" s="1383"/>
      <c r="X33" s="1383"/>
      <c r="Y33" s="1383"/>
      <c r="Z33" s="1383"/>
      <c r="AA33" s="1383"/>
      <c r="AB33" s="1383"/>
      <c r="AC33" s="1383"/>
      <c r="AD33" s="1383"/>
      <c r="AE33" s="1383"/>
      <c r="AF33" s="1383"/>
      <c r="AG33" s="1383"/>
      <c r="AH33" s="1383"/>
      <c r="AI33" s="1383"/>
      <c r="AJ33" s="1383"/>
      <c r="AK33" s="1383"/>
      <c r="AL33" s="1383"/>
      <c r="AM33" s="1383"/>
      <c r="AN33" s="1383"/>
      <c r="AO33" s="1383"/>
      <c r="AP33" s="1383"/>
      <c r="AQ33" s="1383"/>
      <c r="AR33" s="1383"/>
      <c r="AS33" s="1383"/>
      <c r="AT33" s="1383"/>
      <c r="AU33" s="1384"/>
    </row>
    <row r="34" spans="1:47" ht="15" thickBot="1">
      <c r="A34" s="1390" t="str">
        <f>VLOOKUP("Wiederholungsrelease (Bugfix)",Translations!$A:$T,MATCH(Cover!DR19,Translations!A2:P2,0),0)</f>
        <v>Repeat release (Bugfix)</v>
      </c>
      <c r="B34" s="1391"/>
      <c r="C34" s="1391"/>
      <c r="D34" s="1391"/>
      <c r="E34" s="1391"/>
      <c r="F34" s="1391"/>
      <c r="G34" s="1391"/>
      <c r="H34" s="1391"/>
      <c r="I34" s="1391"/>
      <c r="J34" s="1391"/>
      <c r="K34" s="1391"/>
      <c r="L34" s="1391"/>
      <c r="M34" s="1391"/>
      <c r="N34" s="1391"/>
      <c r="O34" s="1391"/>
      <c r="P34" s="1391"/>
      <c r="Q34" s="1391"/>
      <c r="R34" s="1391"/>
      <c r="S34" s="1385"/>
      <c r="T34" s="1386"/>
      <c r="U34" s="1386"/>
      <c r="V34" s="1386"/>
      <c r="W34" s="1386"/>
      <c r="X34" s="1386"/>
      <c r="Y34" s="1386"/>
      <c r="Z34" s="1386"/>
      <c r="AA34" s="1386"/>
      <c r="AB34" s="1386"/>
      <c r="AC34" s="1386"/>
      <c r="AD34" s="1386"/>
      <c r="AE34" s="1386"/>
      <c r="AF34" s="1386"/>
      <c r="AG34" s="1386"/>
      <c r="AH34" s="1386"/>
      <c r="AI34" s="1386"/>
      <c r="AJ34" s="1386"/>
      <c r="AK34" s="1386"/>
      <c r="AL34" s="1386"/>
      <c r="AM34" s="1386"/>
      <c r="AN34" s="1386"/>
      <c r="AO34" s="1386"/>
      <c r="AP34" s="1386"/>
      <c r="AQ34" s="1386"/>
      <c r="AR34" s="1386"/>
      <c r="AS34" s="1386"/>
      <c r="AT34" s="1386"/>
      <c r="AU34" s="1387"/>
    </row>
    <row r="35" spans="1:47" ht="13.5" thickBot="1"/>
    <row r="36" spans="1:47" ht="16.5" customHeight="1">
      <c r="A36" s="1470" t="str">
        <f>VLOOKUP("Änderungen zur vorherigen Software:",Translations!$A:$T,MATCH(Cover!DR19,Translations!A2:P2,0),0)</f>
        <v>Changes compared to previouse software:</v>
      </c>
      <c r="B36" s="1468"/>
      <c r="C36" s="1468"/>
      <c r="D36" s="1468"/>
      <c r="E36" s="1468"/>
      <c r="F36" s="1468"/>
      <c r="G36" s="1468"/>
      <c r="H36" s="1468"/>
      <c r="I36" s="1468"/>
      <c r="J36" s="1468"/>
      <c r="K36" s="1468"/>
      <c r="L36" s="1468"/>
      <c r="M36" s="1468"/>
      <c r="N36" s="1468"/>
      <c r="O36" s="1468"/>
      <c r="P36" s="1468"/>
      <c r="Q36" s="1468"/>
      <c r="R36" s="1468"/>
      <c r="S36" s="1468"/>
      <c r="T36" s="1468"/>
      <c r="U36" s="1468"/>
      <c r="V36" s="1468"/>
      <c r="W36" s="1468"/>
      <c r="X36" s="1468"/>
      <c r="Y36" s="1468"/>
      <c r="Z36" s="1468"/>
      <c r="AA36" s="1468"/>
      <c r="AB36" s="1468"/>
      <c r="AC36" s="1468"/>
      <c r="AD36" s="1468"/>
      <c r="AE36" s="1468"/>
      <c r="AF36" s="1468"/>
      <c r="AG36" s="1468"/>
      <c r="AH36" s="1468"/>
      <c r="AI36" s="1468"/>
      <c r="AJ36" s="1468"/>
      <c r="AK36" s="1468"/>
      <c r="AL36" s="1468"/>
      <c r="AM36" s="1468"/>
      <c r="AN36" s="1468"/>
      <c r="AO36" s="1468"/>
      <c r="AP36" s="1468"/>
      <c r="AQ36" s="1468"/>
      <c r="AR36" s="1468"/>
      <c r="AS36" s="1468"/>
      <c r="AT36" s="1468"/>
      <c r="AU36" s="1469"/>
    </row>
    <row r="37" spans="1:47" ht="23.25" customHeight="1">
      <c r="A37" s="973"/>
      <c r="B37" s="974"/>
      <c r="C37" s="974"/>
      <c r="D37" s="974"/>
      <c r="E37" s="974"/>
      <c r="F37" s="974"/>
      <c r="G37" s="974"/>
      <c r="H37" s="974"/>
      <c r="I37" s="974"/>
      <c r="J37" s="974"/>
      <c r="K37" s="974"/>
      <c r="L37" s="974"/>
      <c r="M37" s="974"/>
      <c r="N37" s="974"/>
      <c r="O37" s="974"/>
      <c r="P37" s="974"/>
      <c r="Q37" s="974"/>
      <c r="R37" s="974"/>
      <c r="S37" s="974"/>
      <c r="T37" s="974"/>
      <c r="U37" s="974"/>
      <c r="V37" s="974"/>
      <c r="W37" s="974"/>
      <c r="X37" s="974"/>
      <c r="Y37" s="974"/>
      <c r="Z37" s="974"/>
      <c r="AA37" s="974"/>
      <c r="AB37" s="974"/>
      <c r="AC37" s="974"/>
      <c r="AD37" s="974"/>
      <c r="AE37" s="974"/>
      <c r="AF37" s="974"/>
      <c r="AG37" s="974"/>
      <c r="AH37" s="974"/>
      <c r="AI37" s="974"/>
      <c r="AJ37" s="974"/>
      <c r="AK37" s="974"/>
      <c r="AL37" s="974"/>
      <c r="AM37" s="974"/>
      <c r="AN37" s="974"/>
      <c r="AO37" s="974"/>
      <c r="AP37" s="974"/>
      <c r="AQ37" s="974"/>
      <c r="AR37" s="974"/>
      <c r="AS37" s="974"/>
      <c r="AT37" s="974"/>
      <c r="AU37" s="975"/>
    </row>
    <row r="38" spans="1:47" ht="23.25" customHeight="1">
      <c r="A38" s="973"/>
      <c r="B38" s="974"/>
      <c r="C38" s="974"/>
      <c r="D38" s="974"/>
      <c r="E38" s="974"/>
      <c r="F38" s="974"/>
      <c r="G38" s="974"/>
      <c r="H38" s="974"/>
      <c r="I38" s="974"/>
      <c r="J38" s="974"/>
      <c r="K38" s="974"/>
      <c r="L38" s="974"/>
      <c r="M38" s="974"/>
      <c r="N38" s="974"/>
      <c r="O38" s="974"/>
      <c r="P38" s="974"/>
      <c r="Q38" s="974"/>
      <c r="R38" s="974"/>
      <c r="S38" s="974"/>
      <c r="T38" s="974"/>
      <c r="U38" s="974"/>
      <c r="V38" s="974"/>
      <c r="W38" s="974"/>
      <c r="X38" s="974"/>
      <c r="Y38" s="974"/>
      <c r="Z38" s="974"/>
      <c r="AA38" s="974"/>
      <c r="AB38" s="974"/>
      <c r="AC38" s="974"/>
      <c r="AD38" s="974"/>
      <c r="AE38" s="974"/>
      <c r="AF38" s="974"/>
      <c r="AG38" s="974"/>
      <c r="AH38" s="974"/>
      <c r="AI38" s="974"/>
      <c r="AJ38" s="974"/>
      <c r="AK38" s="974"/>
      <c r="AL38" s="974"/>
      <c r="AM38" s="974"/>
      <c r="AN38" s="974"/>
      <c r="AO38" s="974"/>
      <c r="AP38" s="974"/>
      <c r="AQ38" s="974"/>
      <c r="AR38" s="974"/>
      <c r="AS38" s="974"/>
      <c r="AT38" s="974"/>
      <c r="AU38" s="975"/>
    </row>
    <row r="39" spans="1:47" ht="15" customHeight="1" thickBot="1">
      <c r="A39" s="982"/>
      <c r="B39" s="983"/>
      <c r="C39" s="983"/>
      <c r="D39" s="983"/>
      <c r="E39" s="983"/>
      <c r="F39" s="983"/>
      <c r="G39" s="983"/>
      <c r="H39" s="983"/>
      <c r="I39" s="983"/>
      <c r="J39" s="983"/>
      <c r="K39" s="983"/>
      <c r="L39" s="983"/>
      <c r="M39" s="983"/>
      <c r="N39" s="983"/>
      <c r="O39" s="983"/>
      <c r="P39" s="983"/>
      <c r="Q39" s="983"/>
      <c r="R39" s="983"/>
      <c r="S39" s="983"/>
      <c r="T39" s="983"/>
      <c r="U39" s="983"/>
      <c r="V39" s="983"/>
      <c r="W39" s="983"/>
      <c r="X39" s="983"/>
      <c r="Y39" s="983"/>
      <c r="Z39" s="983"/>
      <c r="AA39" s="983"/>
      <c r="AB39" s="983"/>
      <c r="AC39" s="983"/>
      <c r="AD39" s="983"/>
      <c r="AE39" s="983"/>
      <c r="AF39" s="983"/>
      <c r="AG39" s="983"/>
      <c r="AH39" s="983"/>
      <c r="AI39" s="983"/>
      <c r="AJ39" s="983"/>
      <c r="AK39" s="983"/>
      <c r="AL39" s="983"/>
      <c r="AM39" s="983"/>
      <c r="AN39" s="983"/>
      <c r="AO39" s="983"/>
      <c r="AP39" s="983"/>
      <c r="AQ39" s="983"/>
      <c r="AR39" s="983"/>
      <c r="AS39" s="983"/>
      <c r="AT39" s="983"/>
      <c r="AU39" s="984"/>
    </row>
    <row r="40" spans="1:47" ht="13.5" thickBot="1"/>
    <row r="41" spans="1:47" ht="16.5" customHeight="1">
      <c r="A41" s="1402" t="str">
        <f>VLOOKUP("Angaben zur Konfiguration:",Translations!$A:$T,MATCH(Cover!DR19,Translations!A2:P2,0),0)</f>
        <v>Configuration details:</v>
      </c>
      <c r="B41" s="1403"/>
      <c r="C41" s="1403"/>
      <c r="D41" s="1403"/>
      <c r="E41" s="1403"/>
      <c r="F41" s="1403"/>
      <c r="G41" s="1403"/>
      <c r="H41" s="1403"/>
      <c r="I41" s="1403"/>
      <c r="J41" s="1403"/>
      <c r="K41" s="1403"/>
      <c r="L41" s="1403"/>
      <c r="M41" s="1403"/>
      <c r="N41" s="1403"/>
      <c r="O41" s="1403"/>
      <c r="P41" s="1403"/>
      <c r="Q41" s="1403"/>
      <c r="R41" s="1403"/>
      <c r="S41" s="1403"/>
      <c r="T41" s="1403"/>
      <c r="U41" s="1403"/>
      <c r="V41" s="1403"/>
      <c r="W41" s="1403"/>
      <c r="X41" s="1403"/>
      <c r="Y41" s="1403"/>
      <c r="Z41" s="1403"/>
      <c r="AA41" s="1403"/>
      <c r="AB41" s="1403"/>
      <c r="AC41" s="1403"/>
      <c r="AD41" s="1403"/>
      <c r="AE41" s="1403"/>
      <c r="AF41" s="1403"/>
      <c r="AG41" s="1403"/>
      <c r="AH41" s="1403"/>
      <c r="AI41" s="1403"/>
      <c r="AJ41" s="1403"/>
      <c r="AK41" s="1403"/>
      <c r="AL41" s="1403"/>
      <c r="AM41" s="1403"/>
      <c r="AN41" s="1403"/>
      <c r="AO41" s="1403"/>
      <c r="AP41" s="1403"/>
      <c r="AQ41" s="1403"/>
      <c r="AR41" s="1403"/>
      <c r="AS41" s="1403"/>
      <c r="AT41" s="1403"/>
      <c r="AU41" s="1451"/>
    </row>
    <row r="42" spans="1:47" ht="16.5" customHeight="1">
      <c r="A42" s="1407" t="str">
        <f>VLOOKUP("Sachnummer",Translations!$A:$T,MATCH(Cover!DR19,Translations!A2:P2,0),0)</f>
        <v>Part number:</v>
      </c>
      <c r="B42" s="1408"/>
      <c r="C42" s="1408"/>
      <c r="D42" s="1408"/>
      <c r="E42" s="1408"/>
      <c r="F42" s="1408"/>
      <c r="G42" s="1408"/>
      <c r="H42" s="1408"/>
      <c r="I42" s="1408"/>
      <c r="J42" s="1408"/>
      <c r="K42" s="1408" t="str">
        <f>VLOOKUP("Hardwarestand",Translations!$A:$T,MATCH(Cover!DR19,Translations!A2:P2,0),0)</f>
        <v>Hardware status:</v>
      </c>
      <c r="L42" s="1408"/>
      <c r="M42" s="1408"/>
      <c r="N42" s="1408"/>
      <c r="O42" s="1408"/>
      <c r="P42" s="1408"/>
      <c r="Q42" s="1408"/>
      <c r="R42" s="1408"/>
      <c r="S42" s="1408"/>
      <c r="T42" s="1408"/>
      <c r="U42" s="1408" t="str">
        <f>VLOOKUP("Softwarestand",Translations!$A:$T,MATCH(Cover!DR19,Translations!A2:P2,0),0)</f>
        <v>Software status:</v>
      </c>
      <c r="V42" s="1408"/>
      <c r="W42" s="1408"/>
      <c r="X42" s="1408"/>
      <c r="Y42" s="1408"/>
      <c r="Z42" s="1408"/>
      <c r="AA42" s="1408"/>
      <c r="AB42" s="1408"/>
      <c r="AC42" s="1408"/>
      <c r="AD42" s="1408"/>
      <c r="AE42" s="1408"/>
      <c r="AF42" s="1408" t="str">
        <f>VLOOKUP("Diagnoseerkennung",Translations!$A:$T,MATCH(Cover!DR19,Translations!A2:P2,0),0)</f>
        <v>Diagnosis ident.:</v>
      </c>
      <c r="AG42" s="1408"/>
      <c r="AH42" s="1408"/>
      <c r="AI42" s="1408"/>
      <c r="AJ42" s="1408"/>
      <c r="AK42" s="1408"/>
      <c r="AL42" s="1408"/>
      <c r="AM42" s="1408"/>
      <c r="AN42" s="1408" t="str">
        <f>VLOOKUP("Securityklasse",Translations!$A:$T,MATCH(Cover!DR19,Translations!A2:P2,0),0)</f>
        <v>Security class:</v>
      </c>
      <c r="AO42" s="1408"/>
      <c r="AP42" s="1408"/>
      <c r="AQ42" s="1408"/>
      <c r="AR42" s="1408"/>
      <c r="AS42" s="1408"/>
      <c r="AT42" s="1408"/>
      <c r="AU42" s="1409"/>
    </row>
    <row r="43" spans="1:47" ht="15.75" customHeight="1">
      <c r="A43" s="1410"/>
      <c r="B43" s="1411"/>
      <c r="C43" s="1411"/>
      <c r="D43" s="1411"/>
      <c r="E43" s="1411"/>
      <c r="F43" s="1411"/>
      <c r="G43" s="1411"/>
      <c r="H43" s="1411"/>
      <c r="I43" s="1411"/>
      <c r="J43" s="1411"/>
      <c r="K43" s="1411"/>
      <c r="L43" s="1411"/>
      <c r="M43" s="1411"/>
      <c r="N43" s="1411"/>
      <c r="O43" s="1411"/>
      <c r="P43" s="1411"/>
      <c r="Q43" s="1411"/>
      <c r="R43" s="1411"/>
      <c r="S43" s="1411"/>
      <c r="T43" s="1411"/>
      <c r="U43" s="1411"/>
      <c r="V43" s="1411"/>
      <c r="W43" s="1411"/>
      <c r="X43" s="1411"/>
      <c r="Y43" s="1411"/>
      <c r="Z43" s="1411"/>
      <c r="AA43" s="1411"/>
      <c r="AB43" s="1411"/>
      <c r="AC43" s="1411"/>
      <c r="AD43" s="1411"/>
      <c r="AE43" s="1411"/>
      <c r="AF43" s="1411"/>
      <c r="AG43" s="1411"/>
      <c r="AH43" s="1411"/>
      <c r="AI43" s="1411"/>
      <c r="AJ43" s="1411"/>
      <c r="AK43" s="1411"/>
      <c r="AL43" s="1411"/>
      <c r="AM43" s="1411"/>
      <c r="AN43" s="1411"/>
      <c r="AO43" s="1411"/>
      <c r="AP43" s="1411"/>
      <c r="AQ43" s="1411"/>
      <c r="AR43" s="1411"/>
      <c r="AS43" s="1411"/>
      <c r="AT43" s="1411"/>
      <c r="AU43" s="1417"/>
    </row>
    <row r="44" spans="1:47" ht="12.75" customHeight="1">
      <c r="A44" s="1412"/>
      <c r="B44" s="1413"/>
      <c r="C44" s="1413"/>
      <c r="D44" s="1413"/>
      <c r="E44" s="1413"/>
      <c r="F44" s="1413"/>
      <c r="G44" s="1413"/>
      <c r="H44" s="1413"/>
      <c r="I44" s="1413"/>
      <c r="J44" s="1413"/>
      <c r="K44" s="1413"/>
      <c r="L44" s="1413"/>
      <c r="M44" s="1413"/>
      <c r="N44" s="1413"/>
      <c r="O44" s="1413"/>
      <c r="P44" s="1413"/>
      <c r="Q44" s="1413"/>
      <c r="R44" s="1413"/>
      <c r="S44" s="1413"/>
      <c r="T44" s="1413"/>
      <c r="U44" s="1413"/>
      <c r="V44" s="1413"/>
      <c r="W44" s="1413"/>
      <c r="X44" s="1413"/>
      <c r="Y44" s="1413"/>
      <c r="Z44" s="1413"/>
      <c r="AA44" s="1413"/>
      <c r="AB44" s="1413"/>
      <c r="AC44" s="1413"/>
      <c r="AD44" s="1413"/>
      <c r="AE44" s="1413"/>
      <c r="AF44" s="1413"/>
      <c r="AG44" s="1413"/>
      <c r="AH44" s="1413"/>
      <c r="AI44" s="1413"/>
      <c r="AJ44" s="1413"/>
      <c r="AK44" s="1413"/>
      <c r="AL44" s="1413"/>
      <c r="AM44" s="1413"/>
      <c r="AN44" s="1413"/>
      <c r="AO44" s="1413"/>
      <c r="AP44" s="1413"/>
      <c r="AQ44" s="1413"/>
      <c r="AR44" s="1413"/>
      <c r="AS44" s="1413"/>
      <c r="AT44" s="1413"/>
      <c r="AU44" s="1418"/>
    </row>
    <row r="45" spans="1:47" ht="13.5" customHeight="1">
      <c r="A45" s="1412"/>
      <c r="B45" s="1413"/>
      <c r="C45" s="1413"/>
      <c r="D45" s="1413"/>
      <c r="E45" s="1413"/>
      <c r="F45" s="1413"/>
      <c r="G45" s="1413"/>
      <c r="H45" s="1413"/>
      <c r="I45" s="1413"/>
      <c r="J45" s="1413"/>
      <c r="K45" s="1413"/>
      <c r="L45" s="1413"/>
      <c r="M45" s="1413"/>
      <c r="N45" s="1413"/>
      <c r="O45" s="1413"/>
      <c r="P45" s="1413"/>
      <c r="Q45" s="1413"/>
      <c r="R45" s="1413"/>
      <c r="S45" s="1413"/>
      <c r="T45" s="1413"/>
      <c r="U45" s="1413"/>
      <c r="V45" s="1413"/>
      <c r="W45" s="1413"/>
      <c r="X45" s="1413"/>
      <c r="Y45" s="1413"/>
      <c r="Z45" s="1413"/>
      <c r="AA45" s="1413"/>
      <c r="AB45" s="1413"/>
      <c r="AC45" s="1413"/>
      <c r="AD45" s="1413"/>
      <c r="AE45" s="1413"/>
      <c r="AF45" s="1413"/>
      <c r="AG45" s="1413"/>
      <c r="AH45" s="1413"/>
      <c r="AI45" s="1413"/>
      <c r="AJ45" s="1413"/>
      <c r="AK45" s="1413"/>
      <c r="AL45" s="1413"/>
      <c r="AM45" s="1413"/>
      <c r="AN45" s="1413"/>
      <c r="AO45" s="1413"/>
      <c r="AP45" s="1413"/>
      <c r="AQ45" s="1413"/>
      <c r="AR45" s="1413"/>
      <c r="AS45" s="1413"/>
      <c r="AT45" s="1413"/>
      <c r="AU45" s="1418"/>
    </row>
    <row r="46" spans="1:47" ht="16.5" customHeight="1">
      <c r="A46" s="1421" t="str">
        <f>VLOOKUP("Bestellnummer",Translations!$A:$T,MATCH(Cover!DR19,Translations!A2:P2,0),0)</f>
        <v>Order No.</v>
      </c>
      <c r="B46" s="1422"/>
      <c r="C46" s="1422"/>
      <c r="D46" s="1422"/>
      <c r="E46" s="1422"/>
      <c r="F46" s="1422"/>
      <c r="G46" s="1422"/>
      <c r="H46" s="1422"/>
      <c r="I46" s="1422"/>
      <c r="J46" s="1422"/>
      <c r="K46" s="1419"/>
      <c r="L46" s="1419"/>
      <c r="M46" s="1419"/>
      <c r="N46" s="1419"/>
      <c r="O46" s="1419"/>
      <c r="P46" s="1419"/>
      <c r="Q46" s="1419"/>
      <c r="R46" s="1419"/>
      <c r="S46" s="1419"/>
      <c r="T46" s="1419"/>
      <c r="U46" s="1419"/>
      <c r="V46" s="1419"/>
      <c r="W46" s="1419"/>
      <c r="X46" s="1419"/>
      <c r="Y46" s="1419"/>
      <c r="Z46" s="1419"/>
      <c r="AA46" s="1419"/>
      <c r="AB46" s="1419"/>
      <c r="AC46" s="1419"/>
      <c r="AD46" s="1419"/>
      <c r="AE46" s="1419"/>
      <c r="AF46" s="1419"/>
      <c r="AG46" s="1419"/>
      <c r="AH46" s="1419"/>
      <c r="AI46" s="1419"/>
      <c r="AJ46" s="1419"/>
      <c r="AK46" s="1419"/>
      <c r="AL46" s="1419"/>
      <c r="AM46" s="1419"/>
      <c r="AN46" s="1419"/>
      <c r="AO46" s="1419"/>
      <c r="AP46" s="1419"/>
      <c r="AQ46" s="1419"/>
      <c r="AR46" s="1419"/>
      <c r="AS46" s="1419"/>
      <c r="AT46" s="1419"/>
      <c r="AU46" s="1420"/>
    </row>
    <row r="47" spans="1:47">
      <c r="A47" s="1410"/>
      <c r="B47" s="1411"/>
      <c r="C47" s="1411"/>
      <c r="D47" s="1411"/>
      <c r="E47" s="1411"/>
      <c r="F47" s="1411"/>
      <c r="G47" s="1411"/>
      <c r="H47" s="1411"/>
      <c r="I47" s="1411"/>
      <c r="J47" s="1411"/>
      <c r="K47" s="1419"/>
      <c r="L47" s="1419"/>
      <c r="M47" s="1419"/>
      <c r="N47" s="1419"/>
      <c r="O47" s="1419"/>
      <c r="P47" s="1419"/>
      <c r="Q47" s="1419"/>
      <c r="R47" s="1419"/>
      <c r="S47" s="1419"/>
      <c r="T47" s="1419"/>
      <c r="U47" s="1419"/>
      <c r="V47" s="1419"/>
      <c r="W47" s="1419"/>
      <c r="X47" s="1419"/>
      <c r="Y47" s="1419"/>
      <c r="Z47" s="1419"/>
      <c r="AA47" s="1419"/>
      <c r="AB47" s="1419"/>
      <c r="AC47" s="1419"/>
      <c r="AD47" s="1419"/>
      <c r="AE47" s="1419"/>
      <c r="AF47" s="1419"/>
      <c r="AG47" s="1419"/>
      <c r="AH47" s="1419"/>
      <c r="AI47" s="1419"/>
      <c r="AJ47" s="1419"/>
      <c r="AK47" s="1419"/>
      <c r="AL47" s="1419"/>
      <c r="AM47" s="1419"/>
      <c r="AN47" s="1419"/>
      <c r="AO47" s="1419"/>
      <c r="AP47" s="1419"/>
      <c r="AQ47" s="1419"/>
      <c r="AR47" s="1419"/>
      <c r="AS47" s="1419"/>
      <c r="AT47" s="1419"/>
      <c r="AU47" s="1420"/>
    </row>
    <row r="48" spans="1:47">
      <c r="A48" s="1412"/>
      <c r="B48" s="1413"/>
      <c r="C48" s="1413"/>
      <c r="D48" s="1413"/>
      <c r="E48" s="1413"/>
      <c r="F48" s="1413"/>
      <c r="G48" s="1413"/>
      <c r="H48" s="1413"/>
      <c r="I48" s="1413"/>
      <c r="J48" s="1413"/>
      <c r="K48" s="1419"/>
      <c r="L48" s="1419"/>
      <c r="M48" s="1419"/>
      <c r="N48" s="1419"/>
      <c r="O48" s="1419"/>
      <c r="P48" s="1419"/>
      <c r="Q48" s="1419"/>
      <c r="R48" s="1419"/>
      <c r="S48" s="1419"/>
      <c r="T48" s="1419"/>
      <c r="U48" s="1419"/>
      <c r="V48" s="1419"/>
      <c r="W48" s="1419"/>
      <c r="X48" s="1419"/>
      <c r="Y48" s="1419"/>
      <c r="Z48" s="1419"/>
      <c r="AA48" s="1419"/>
      <c r="AB48" s="1419"/>
      <c r="AC48" s="1419"/>
      <c r="AD48" s="1419"/>
      <c r="AE48" s="1419"/>
      <c r="AF48" s="1419"/>
      <c r="AG48" s="1419"/>
      <c r="AH48" s="1419"/>
      <c r="AI48" s="1419"/>
      <c r="AJ48" s="1419"/>
      <c r="AK48" s="1419"/>
      <c r="AL48" s="1419"/>
      <c r="AM48" s="1419"/>
      <c r="AN48" s="1419"/>
      <c r="AO48" s="1419"/>
      <c r="AP48" s="1419"/>
      <c r="AQ48" s="1419"/>
      <c r="AR48" s="1419"/>
      <c r="AS48" s="1419"/>
      <c r="AT48" s="1419"/>
      <c r="AU48" s="1420"/>
    </row>
    <row r="49" spans="1:47">
      <c r="A49" s="1412"/>
      <c r="B49" s="1413"/>
      <c r="C49" s="1413"/>
      <c r="D49" s="1413"/>
      <c r="E49" s="1413"/>
      <c r="F49" s="1413"/>
      <c r="G49" s="1413"/>
      <c r="H49" s="1413"/>
      <c r="I49" s="1413"/>
      <c r="J49" s="1413"/>
      <c r="K49" s="1419"/>
      <c r="L49" s="1419"/>
      <c r="M49" s="1419"/>
      <c r="N49" s="1419"/>
      <c r="O49" s="1419"/>
      <c r="P49" s="1419"/>
      <c r="Q49" s="1419"/>
      <c r="R49" s="1419"/>
      <c r="S49" s="1419"/>
      <c r="T49" s="1419"/>
      <c r="U49" s="1419"/>
      <c r="V49" s="1419"/>
      <c r="W49" s="1419"/>
      <c r="X49" s="1419"/>
      <c r="Y49" s="1419"/>
      <c r="Z49" s="1419"/>
      <c r="AA49" s="1419"/>
      <c r="AB49" s="1419"/>
      <c r="AC49" s="1419"/>
      <c r="AD49" s="1419"/>
      <c r="AE49" s="1419"/>
      <c r="AF49" s="1419"/>
      <c r="AG49" s="1419"/>
      <c r="AH49" s="1419"/>
      <c r="AI49" s="1419"/>
      <c r="AJ49" s="1419"/>
      <c r="AK49" s="1419"/>
      <c r="AL49" s="1419"/>
      <c r="AM49" s="1419"/>
      <c r="AN49" s="1419"/>
      <c r="AO49" s="1419"/>
      <c r="AP49" s="1419"/>
      <c r="AQ49" s="1419"/>
      <c r="AR49" s="1419"/>
      <c r="AS49" s="1419"/>
      <c r="AT49" s="1419"/>
      <c r="AU49" s="1420"/>
    </row>
    <row r="50" spans="1:47" ht="16.5" customHeight="1">
      <c r="A50" s="1421" t="str">
        <f>VLOOKUP("Hardware-Sachnummer",Translations!$A:$T,MATCH(Cover!DR19,Translations!A2:P2,0),0)</f>
        <v>Hardware part number</v>
      </c>
      <c r="B50" s="1422"/>
      <c r="C50" s="1422"/>
      <c r="D50" s="1422"/>
      <c r="E50" s="1422"/>
      <c r="F50" s="1422"/>
      <c r="G50" s="1422"/>
      <c r="H50" s="1422"/>
      <c r="I50" s="1422"/>
      <c r="J50" s="1422"/>
      <c r="K50" s="1425" t="s">
        <v>98</v>
      </c>
      <c r="L50" s="1425"/>
      <c r="M50" s="1425"/>
      <c r="N50" s="1425"/>
      <c r="O50" s="1425"/>
      <c r="P50" s="1425"/>
      <c r="Q50" s="1425"/>
      <c r="R50" s="1425"/>
      <c r="S50" s="1425"/>
      <c r="T50" s="1425"/>
      <c r="U50" s="1425" t="s">
        <v>99</v>
      </c>
      <c r="V50" s="1425"/>
      <c r="W50" s="1425"/>
      <c r="X50" s="1425"/>
      <c r="Y50" s="1425"/>
      <c r="Z50" s="1425"/>
      <c r="AA50" s="1425"/>
      <c r="AB50" s="1425"/>
      <c r="AC50" s="1425"/>
      <c r="AD50" s="1425"/>
      <c r="AE50" s="1425"/>
      <c r="AF50" s="1423"/>
      <c r="AG50" s="1423"/>
      <c r="AH50" s="1423"/>
      <c r="AI50" s="1423"/>
      <c r="AJ50" s="1423"/>
      <c r="AK50" s="1423"/>
      <c r="AL50" s="1423"/>
      <c r="AM50" s="1423"/>
      <c r="AN50" s="1423"/>
      <c r="AO50" s="1423"/>
      <c r="AP50" s="1423"/>
      <c r="AQ50" s="1423"/>
      <c r="AR50" s="1423"/>
      <c r="AS50" s="1423"/>
      <c r="AT50" s="1423"/>
      <c r="AU50" s="1455"/>
    </row>
    <row r="51" spans="1:47" ht="12.75" customHeight="1">
      <c r="A51" s="1410"/>
      <c r="B51" s="1411"/>
      <c r="C51" s="1411"/>
      <c r="D51" s="1411"/>
      <c r="E51" s="1411"/>
      <c r="F51" s="1411"/>
      <c r="G51" s="1411"/>
      <c r="H51" s="1411"/>
      <c r="I51" s="1411"/>
      <c r="J51" s="1411"/>
      <c r="K51" s="1426"/>
      <c r="L51" s="1426"/>
      <c r="M51" s="1426"/>
      <c r="N51" s="1426"/>
      <c r="O51" s="1426"/>
      <c r="P51" s="1426"/>
      <c r="Q51" s="1426"/>
      <c r="R51" s="1426"/>
      <c r="S51" s="1426"/>
      <c r="T51" s="1426"/>
      <c r="U51" s="1426"/>
      <c r="V51" s="1426"/>
      <c r="W51" s="1426"/>
      <c r="X51" s="1426"/>
      <c r="Y51" s="1426"/>
      <c r="Z51" s="1426"/>
      <c r="AA51" s="1426"/>
      <c r="AB51" s="1426"/>
      <c r="AC51" s="1426"/>
      <c r="AD51" s="1426"/>
      <c r="AE51" s="1426"/>
      <c r="AF51" s="1424"/>
      <c r="AG51" s="1424"/>
      <c r="AH51" s="1424"/>
      <c r="AI51" s="1424"/>
      <c r="AJ51" s="1424"/>
      <c r="AK51" s="1424"/>
      <c r="AL51" s="1424"/>
      <c r="AM51" s="1424"/>
      <c r="AN51" s="1424"/>
      <c r="AO51" s="1424"/>
      <c r="AP51" s="1424"/>
      <c r="AQ51" s="1424"/>
      <c r="AR51" s="1424"/>
      <c r="AS51" s="1424"/>
      <c r="AT51" s="1424"/>
      <c r="AU51" s="1456"/>
    </row>
    <row r="52" spans="1:47" ht="12.75" customHeight="1">
      <c r="A52" s="1412"/>
      <c r="B52" s="1413"/>
      <c r="C52" s="1413"/>
      <c r="D52" s="1413"/>
      <c r="E52" s="1413"/>
      <c r="F52" s="1413"/>
      <c r="G52" s="1413"/>
      <c r="H52" s="1413"/>
      <c r="I52" s="1413"/>
      <c r="J52" s="1413"/>
      <c r="K52" s="1426"/>
      <c r="L52" s="1426"/>
      <c r="M52" s="1426"/>
      <c r="N52" s="1426"/>
      <c r="O52" s="1426"/>
      <c r="P52" s="1426"/>
      <c r="Q52" s="1426"/>
      <c r="R52" s="1426"/>
      <c r="S52" s="1426"/>
      <c r="T52" s="1426"/>
      <c r="U52" s="1426"/>
      <c r="V52" s="1426"/>
      <c r="W52" s="1426"/>
      <c r="X52" s="1426"/>
      <c r="Y52" s="1426"/>
      <c r="Z52" s="1426"/>
      <c r="AA52" s="1426"/>
      <c r="AB52" s="1426"/>
      <c r="AC52" s="1426"/>
      <c r="AD52" s="1426"/>
      <c r="AE52" s="1426"/>
      <c r="AF52" s="1424"/>
      <c r="AG52" s="1424"/>
      <c r="AH52" s="1424"/>
      <c r="AI52" s="1424"/>
      <c r="AJ52" s="1424"/>
      <c r="AK52" s="1424"/>
      <c r="AL52" s="1424"/>
      <c r="AM52" s="1424"/>
      <c r="AN52" s="1424"/>
      <c r="AO52" s="1424"/>
      <c r="AP52" s="1424"/>
      <c r="AQ52" s="1424"/>
      <c r="AR52" s="1424"/>
      <c r="AS52" s="1424"/>
      <c r="AT52" s="1424"/>
      <c r="AU52" s="1456"/>
    </row>
    <row r="53" spans="1:47" ht="12.75" customHeight="1">
      <c r="A53" s="1412"/>
      <c r="B53" s="1413"/>
      <c r="C53" s="1413"/>
      <c r="D53" s="1413"/>
      <c r="E53" s="1413"/>
      <c r="F53" s="1413"/>
      <c r="G53" s="1413"/>
      <c r="H53" s="1413"/>
      <c r="I53" s="1413"/>
      <c r="J53" s="1413"/>
      <c r="K53" s="1427"/>
      <c r="L53" s="1427"/>
      <c r="M53" s="1427"/>
      <c r="N53" s="1427"/>
      <c r="O53" s="1427"/>
      <c r="P53" s="1427"/>
      <c r="Q53" s="1427"/>
      <c r="R53" s="1427"/>
      <c r="S53" s="1427"/>
      <c r="T53" s="1427"/>
      <c r="U53" s="1427"/>
      <c r="V53" s="1427"/>
      <c r="W53" s="1427"/>
      <c r="X53" s="1427"/>
      <c r="Y53" s="1427"/>
      <c r="Z53" s="1427"/>
      <c r="AA53" s="1427"/>
      <c r="AB53" s="1427"/>
      <c r="AC53" s="1427"/>
      <c r="AD53" s="1427"/>
      <c r="AE53" s="1427"/>
      <c r="AF53" s="1411"/>
      <c r="AG53" s="1411"/>
      <c r="AH53" s="1411"/>
      <c r="AI53" s="1411"/>
      <c r="AJ53" s="1411"/>
      <c r="AK53" s="1411"/>
      <c r="AL53" s="1411"/>
      <c r="AM53" s="1411"/>
      <c r="AN53" s="1411"/>
      <c r="AO53" s="1411"/>
      <c r="AP53" s="1411"/>
      <c r="AQ53" s="1411"/>
      <c r="AR53" s="1411"/>
      <c r="AS53" s="1411"/>
      <c r="AT53" s="1411"/>
      <c r="AU53" s="1417"/>
    </row>
    <row r="54" spans="1:47" ht="16.5" customHeight="1">
      <c r="A54" s="1421" t="str">
        <f>VLOOKUP("Software-Sachnummer 1",Translations!$A:$T,MATCH(Cover!DR19,Translations!A2:P2,0),0)</f>
        <v>Software part number 1</v>
      </c>
      <c r="B54" s="1422"/>
      <c r="C54" s="1422"/>
      <c r="D54" s="1422"/>
      <c r="E54" s="1422"/>
      <c r="F54" s="1422"/>
      <c r="G54" s="1422"/>
      <c r="H54" s="1422"/>
      <c r="I54" s="1422"/>
      <c r="J54" s="1422"/>
      <c r="K54" s="1423"/>
      <c r="L54" s="1423"/>
      <c r="M54" s="1423"/>
      <c r="N54" s="1423"/>
      <c r="O54" s="1423"/>
      <c r="P54" s="1423"/>
      <c r="Q54" s="1423"/>
      <c r="R54" s="1423"/>
      <c r="S54" s="1423"/>
      <c r="T54" s="1423"/>
      <c r="U54" s="1425" t="s">
        <v>99</v>
      </c>
      <c r="V54" s="1425"/>
      <c r="W54" s="1425"/>
      <c r="X54" s="1425"/>
      <c r="Y54" s="1425"/>
      <c r="Z54" s="1425"/>
      <c r="AA54" s="1425"/>
      <c r="AB54" s="1425"/>
      <c r="AC54" s="1425"/>
      <c r="AD54" s="1425"/>
      <c r="AE54" s="1425"/>
      <c r="AF54" s="1423"/>
      <c r="AG54" s="1423"/>
      <c r="AH54" s="1423"/>
      <c r="AI54" s="1423"/>
      <c r="AJ54" s="1423"/>
      <c r="AK54" s="1423"/>
      <c r="AL54" s="1423"/>
      <c r="AM54" s="1423"/>
      <c r="AN54" s="1423"/>
      <c r="AO54" s="1423"/>
      <c r="AP54" s="1423"/>
      <c r="AQ54" s="1423"/>
      <c r="AR54" s="1423"/>
      <c r="AS54" s="1423"/>
      <c r="AT54" s="1423"/>
      <c r="AU54" s="1455"/>
    </row>
    <row r="55" spans="1:47" ht="12.75" customHeight="1">
      <c r="A55" s="1410"/>
      <c r="B55" s="1411"/>
      <c r="C55" s="1411"/>
      <c r="D55" s="1411"/>
      <c r="E55" s="1411"/>
      <c r="F55" s="1411"/>
      <c r="G55" s="1411"/>
      <c r="H55" s="1411"/>
      <c r="I55" s="1411"/>
      <c r="J55" s="1411"/>
      <c r="K55" s="1424"/>
      <c r="L55" s="1424"/>
      <c r="M55" s="1424"/>
      <c r="N55" s="1424"/>
      <c r="O55" s="1424"/>
      <c r="P55" s="1424"/>
      <c r="Q55" s="1424"/>
      <c r="R55" s="1424"/>
      <c r="S55" s="1424"/>
      <c r="T55" s="1424"/>
      <c r="U55" s="1426"/>
      <c r="V55" s="1426"/>
      <c r="W55" s="1426"/>
      <c r="X55" s="1426"/>
      <c r="Y55" s="1426"/>
      <c r="Z55" s="1426"/>
      <c r="AA55" s="1426"/>
      <c r="AB55" s="1426"/>
      <c r="AC55" s="1426"/>
      <c r="AD55" s="1426"/>
      <c r="AE55" s="1426"/>
      <c r="AF55" s="1424"/>
      <c r="AG55" s="1424"/>
      <c r="AH55" s="1424"/>
      <c r="AI55" s="1424"/>
      <c r="AJ55" s="1424"/>
      <c r="AK55" s="1424"/>
      <c r="AL55" s="1424"/>
      <c r="AM55" s="1424"/>
      <c r="AN55" s="1424"/>
      <c r="AO55" s="1424"/>
      <c r="AP55" s="1424"/>
      <c r="AQ55" s="1424"/>
      <c r="AR55" s="1424"/>
      <c r="AS55" s="1424"/>
      <c r="AT55" s="1424"/>
      <c r="AU55" s="1456"/>
    </row>
    <row r="56" spans="1:47" ht="12.75" customHeight="1">
      <c r="A56" s="1412"/>
      <c r="B56" s="1413"/>
      <c r="C56" s="1413"/>
      <c r="D56" s="1413"/>
      <c r="E56" s="1413"/>
      <c r="F56" s="1413"/>
      <c r="G56" s="1413"/>
      <c r="H56" s="1413"/>
      <c r="I56" s="1413"/>
      <c r="J56" s="1413"/>
      <c r="K56" s="1424"/>
      <c r="L56" s="1424"/>
      <c r="M56" s="1424"/>
      <c r="N56" s="1424"/>
      <c r="O56" s="1424"/>
      <c r="P56" s="1424"/>
      <c r="Q56" s="1424"/>
      <c r="R56" s="1424"/>
      <c r="S56" s="1424"/>
      <c r="T56" s="1424"/>
      <c r="U56" s="1426"/>
      <c r="V56" s="1426"/>
      <c r="W56" s="1426"/>
      <c r="X56" s="1426"/>
      <c r="Y56" s="1426"/>
      <c r="Z56" s="1426"/>
      <c r="AA56" s="1426"/>
      <c r="AB56" s="1426"/>
      <c r="AC56" s="1426"/>
      <c r="AD56" s="1426"/>
      <c r="AE56" s="1426"/>
      <c r="AF56" s="1424"/>
      <c r="AG56" s="1424"/>
      <c r="AH56" s="1424"/>
      <c r="AI56" s="1424"/>
      <c r="AJ56" s="1424"/>
      <c r="AK56" s="1424"/>
      <c r="AL56" s="1424"/>
      <c r="AM56" s="1424"/>
      <c r="AN56" s="1424"/>
      <c r="AO56" s="1424"/>
      <c r="AP56" s="1424"/>
      <c r="AQ56" s="1424"/>
      <c r="AR56" s="1424"/>
      <c r="AS56" s="1424"/>
      <c r="AT56" s="1424"/>
      <c r="AU56" s="1456"/>
    </row>
    <row r="57" spans="1:47" ht="12.75" customHeight="1">
      <c r="A57" s="1412"/>
      <c r="B57" s="1413"/>
      <c r="C57" s="1413"/>
      <c r="D57" s="1413"/>
      <c r="E57" s="1413"/>
      <c r="F57" s="1413"/>
      <c r="G57" s="1413"/>
      <c r="H57" s="1413"/>
      <c r="I57" s="1413"/>
      <c r="J57" s="1413"/>
      <c r="K57" s="1411"/>
      <c r="L57" s="1411"/>
      <c r="M57" s="1411"/>
      <c r="N57" s="1411"/>
      <c r="O57" s="1411"/>
      <c r="P57" s="1411"/>
      <c r="Q57" s="1411"/>
      <c r="R57" s="1411"/>
      <c r="S57" s="1411"/>
      <c r="T57" s="1411"/>
      <c r="U57" s="1427"/>
      <c r="V57" s="1427"/>
      <c r="W57" s="1427"/>
      <c r="X57" s="1427"/>
      <c r="Y57" s="1427"/>
      <c r="Z57" s="1427"/>
      <c r="AA57" s="1427"/>
      <c r="AB57" s="1427"/>
      <c r="AC57" s="1427"/>
      <c r="AD57" s="1427"/>
      <c r="AE57" s="1427"/>
      <c r="AF57" s="1411"/>
      <c r="AG57" s="1411"/>
      <c r="AH57" s="1411"/>
      <c r="AI57" s="1411"/>
      <c r="AJ57" s="1411"/>
      <c r="AK57" s="1411"/>
      <c r="AL57" s="1411"/>
      <c r="AM57" s="1411"/>
      <c r="AN57" s="1411"/>
      <c r="AO57" s="1411"/>
      <c r="AP57" s="1411"/>
      <c r="AQ57" s="1411"/>
      <c r="AR57" s="1411"/>
      <c r="AS57" s="1411"/>
      <c r="AT57" s="1411"/>
      <c r="AU57" s="1417"/>
    </row>
    <row r="58" spans="1:47" ht="16.5" customHeight="1">
      <c r="A58" s="1421" t="str">
        <f>VLOOKUP("Software-Sachnummer 2",Translations!$A:$T,MATCH(Cover!DR19,Translations!A2:P2,0),0)</f>
        <v>Software part number 2</v>
      </c>
      <c r="B58" s="1422"/>
      <c r="C58" s="1422"/>
      <c r="D58" s="1422"/>
      <c r="E58" s="1422"/>
      <c r="F58" s="1422"/>
      <c r="G58" s="1422"/>
      <c r="H58" s="1422"/>
      <c r="I58" s="1422"/>
      <c r="J58" s="1422"/>
      <c r="K58" s="1423"/>
      <c r="L58" s="1423"/>
      <c r="M58" s="1423"/>
      <c r="N58" s="1423"/>
      <c r="O58" s="1423"/>
      <c r="P58" s="1423"/>
      <c r="Q58" s="1423"/>
      <c r="R58" s="1423"/>
      <c r="S58" s="1423"/>
      <c r="T58" s="1423"/>
      <c r="U58" s="1425" t="s">
        <v>99</v>
      </c>
      <c r="V58" s="1425"/>
      <c r="W58" s="1425"/>
      <c r="X58" s="1425"/>
      <c r="Y58" s="1425"/>
      <c r="Z58" s="1425"/>
      <c r="AA58" s="1425"/>
      <c r="AB58" s="1425"/>
      <c r="AC58" s="1425"/>
      <c r="AD58" s="1425"/>
      <c r="AE58" s="1425"/>
      <c r="AF58" s="1423"/>
      <c r="AG58" s="1423"/>
      <c r="AH58" s="1423"/>
      <c r="AI58" s="1423"/>
      <c r="AJ58" s="1423"/>
      <c r="AK58" s="1423"/>
      <c r="AL58" s="1423"/>
      <c r="AM58" s="1423"/>
      <c r="AN58" s="1423"/>
      <c r="AO58" s="1423"/>
      <c r="AP58" s="1423"/>
      <c r="AQ58" s="1423"/>
      <c r="AR58" s="1423"/>
      <c r="AS58" s="1423"/>
      <c r="AT58" s="1423"/>
      <c r="AU58" s="1455"/>
    </row>
    <row r="59" spans="1:47" ht="12.75" customHeight="1">
      <c r="A59" s="1410"/>
      <c r="B59" s="1411"/>
      <c r="C59" s="1411"/>
      <c r="D59" s="1411"/>
      <c r="E59" s="1411"/>
      <c r="F59" s="1411"/>
      <c r="G59" s="1411"/>
      <c r="H59" s="1411"/>
      <c r="I59" s="1411"/>
      <c r="J59" s="1411"/>
      <c r="K59" s="1424"/>
      <c r="L59" s="1424"/>
      <c r="M59" s="1424"/>
      <c r="N59" s="1424"/>
      <c r="O59" s="1424"/>
      <c r="P59" s="1424"/>
      <c r="Q59" s="1424"/>
      <c r="R59" s="1424"/>
      <c r="S59" s="1424"/>
      <c r="T59" s="1424"/>
      <c r="U59" s="1426"/>
      <c r="V59" s="1426"/>
      <c r="W59" s="1426"/>
      <c r="X59" s="1426"/>
      <c r="Y59" s="1426"/>
      <c r="Z59" s="1426"/>
      <c r="AA59" s="1426"/>
      <c r="AB59" s="1426"/>
      <c r="AC59" s="1426"/>
      <c r="AD59" s="1426"/>
      <c r="AE59" s="1426"/>
      <c r="AF59" s="1424"/>
      <c r="AG59" s="1424"/>
      <c r="AH59" s="1424"/>
      <c r="AI59" s="1424"/>
      <c r="AJ59" s="1424"/>
      <c r="AK59" s="1424"/>
      <c r="AL59" s="1424"/>
      <c r="AM59" s="1424"/>
      <c r="AN59" s="1424"/>
      <c r="AO59" s="1424"/>
      <c r="AP59" s="1424"/>
      <c r="AQ59" s="1424"/>
      <c r="AR59" s="1424"/>
      <c r="AS59" s="1424"/>
      <c r="AT59" s="1424"/>
      <c r="AU59" s="1456"/>
    </row>
    <row r="60" spans="1:47" ht="12.75" customHeight="1">
      <c r="A60" s="1412"/>
      <c r="B60" s="1413"/>
      <c r="C60" s="1413"/>
      <c r="D60" s="1413"/>
      <c r="E60" s="1413"/>
      <c r="F60" s="1413"/>
      <c r="G60" s="1413"/>
      <c r="H60" s="1413"/>
      <c r="I60" s="1413"/>
      <c r="J60" s="1413"/>
      <c r="K60" s="1424"/>
      <c r="L60" s="1424"/>
      <c r="M60" s="1424"/>
      <c r="N60" s="1424"/>
      <c r="O60" s="1424"/>
      <c r="P60" s="1424"/>
      <c r="Q60" s="1424"/>
      <c r="R60" s="1424"/>
      <c r="S60" s="1424"/>
      <c r="T60" s="1424"/>
      <c r="U60" s="1426"/>
      <c r="V60" s="1426"/>
      <c r="W60" s="1426"/>
      <c r="X60" s="1426"/>
      <c r="Y60" s="1426"/>
      <c r="Z60" s="1426"/>
      <c r="AA60" s="1426"/>
      <c r="AB60" s="1426"/>
      <c r="AC60" s="1426"/>
      <c r="AD60" s="1426"/>
      <c r="AE60" s="1426"/>
      <c r="AF60" s="1424"/>
      <c r="AG60" s="1424"/>
      <c r="AH60" s="1424"/>
      <c r="AI60" s="1424"/>
      <c r="AJ60" s="1424"/>
      <c r="AK60" s="1424"/>
      <c r="AL60" s="1424"/>
      <c r="AM60" s="1424"/>
      <c r="AN60" s="1424"/>
      <c r="AO60" s="1424"/>
      <c r="AP60" s="1424"/>
      <c r="AQ60" s="1424"/>
      <c r="AR60" s="1424"/>
      <c r="AS60" s="1424"/>
      <c r="AT60" s="1424"/>
      <c r="AU60" s="1456"/>
    </row>
    <row r="61" spans="1:47" ht="12.75" customHeight="1">
      <c r="A61" s="1412"/>
      <c r="B61" s="1413"/>
      <c r="C61" s="1413"/>
      <c r="D61" s="1413"/>
      <c r="E61" s="1413"/>
      <c r="F61" s="1413"/>
      <c r="G61" s="1413"/>
      <c r="H61" s="1413"/>
      <c r="I61" s="1413"/>
      <c r="J61" s="1413"/>
      <c r="K61" s="1411"/>
      <c r="L61" s="1411"/>
      <c r="M61" s="1411"/>
      <c r="N61" s="1411"/>
      <c r="O61" s="1411"/>
      <c r="P61" s="1411"/>
      <c r="Q61" s="1411"/>
      <c r="R61" s="1411"/>
      <c r="S61" s="1411"/>
      <c r="T61" s="1411"/>
      <c r="U61" s="1427"/>
      <c r="V61" s="1427"/>
      <c r="W61" s="1427"/>
      <c r="X61" s="1427"/>
      <c r="Y61" s="1427"/>
      <c r="Z61" s="1427"/>
      <c r="AA61" s="1427"/>
      <c r="AB61" s="1427"/>
      <c r="AC61" s="1427"/>
      <c r="AD61" s="1427"/>
      <c r="AE61" s="1427"/>
      <c r="AF61" s="1411"/>
      <c r="AG61" s="1411"/>
      <c r="AH61" s="1411"/>
      <c r="AI61" s="1411"/>
      <c r="AJ61" s="1411"/>
      <c r="AK61" s="1411"/>
      <c r="AL61" s="1411"/>
      <c r="AM61" s="1411"/>
      <c r="AN61" s="1411"/>
      <c r="AO61" s="1411"/>
      <c r="AP61" s="1411"/>
      <c r="AQ61" s="1411"/>
      <c r="AR61" s="1411"/>
      <c r="AS61" s="1411"/>
      <c r="AT61" s="1411"/>
      <c r="AU61" s="1417"/>
    </row>
    <row r="62" spans="1:47" ht="16.5" customHeight="1">
      <c r="A62" s="1421" t="str">
        <f>VLOOKUP("Software-Sachnummer 3",Translations!$A:$T,MATCH(Cover!DR19,Translations!A2:P2,0),0)</f>
        <v>Software part number 3</v>
      </c>
      <c r="B62" s="1422"/>
      <c r="C62" s="1422"/>
      <c r="D62" s="1422"/>
      <c r="E62" s="1422"/>
      <c r="F62" s="1422"/>
      <c r="G62" s="1422"/>
      <c r="H62" s="1422"/>
      <c r="I62" s="1422"/>
      <c r="J62" s="1422"/>
      <c r="K62" s="1423"/>
      <c r="L62" s="1423"/>
      <c r="M62" s="1423"/>
      <c r="N62" s="1423"/>
      <c r="O62" s="1423"/>
      <c r="P62" s="1423"/>
      <c r="Q62" s="1423"/>
      <c r="R62" s="1423"/>
      <c r="S62" s="1423"/>
      <c r="T62" s="1423"/>
      <c r="U62" s="1425" t="s">
        <v>99</v>
      </c>
      <c r="V62" s="1425"/>
      <c r="W62" s="1425"/>
      <c r="X62" s="1425"/>
      <c r="Y62" s="1425"/>
      <c r="Z62" s="1425"/>
      <c r="AA62" s="1425"/>
      <c r="AB62" s="1425"/>
      <c r="AC62" s="1425"/>
      <c r="AD62" s="1425"/>
      <c r="AE62" s="1425"/>
      <c r="AF62" s="1423"/>
      <c r="AG62" s="1423"/>
      <c r="AH62" s="1423"/>
      <c r="AI62" s="1423"/>
      <c r="AJ62" s="1423"/>
      <c r="AK62" s="1423"/>
      <c r="AL62" s="1423"/>
      <c r="AM62" s="1423"/>
      <c r="AN62" s="1423"/>
      <c r="AO62" s="1423"/>
      <c r="AP62" s="1423"/>
      <c r="AQ62" s="1423"/>
      <c r="AR62" s="1423"/>
      <c r="AS62" s="1423"/>
      <c r="AT62" s="1423"/>
      <c r="AU62" s="1455"/>
    </row>
    <row r="63" spans="1:47" ht="12.75" customHeight="1">
      <c r="A63" s="1410"/>
      <c r="B63" s="1411"/>
      <c r="C63" s="1411"/>
      <c r="D63" s="1411"/>
      <c r="E63" s="1411"/>
      <c r="F63" s="1411"/>
      <c r="G63" s="1411"/>
      <c r="H63" s="1411"/>
      <c r="I63" s="1411"/>
      <c r="J63" s="1411"/>
      <c r="K63" s="1424"/>
      <c r="L63" s="1424"/>
      <c r="M63" s="1424"/>
      <c r="N63" s="1424"/>
      <c r="O63" s="1424"/>
      <c r="P63" s="1424"/>
      <c r="Q63" s="1424"/>
      <c r="R63" s="1424"/>
      <c r="S63" s="1424"/>
      <c r="T63" s="1424"/>
      <c r="U63" s="1426"/>
      <c r="V63" s="1426"/>
      <c r="W63" s="1426"/>
      <c r="X63" s="1426"/>
      <c r="Y63" s="1426"/>
      <c r="Z63" s="1426"/>
      <c r="AA63" s="1426"/>
      <c r="AB63" s="1426"/>
      <c r="AC63" s="1426"/>
      <c r="AD63" s="1426"/>
      <c r="AE63" s="1426"/>
      <c r="AF63" s="1424"/>
      <c r="AG63" s="1424"/>
      <c r="AH63" s="1424"/>
      <c r="AI63" s="1424"/>
      <c r="AJ63" s="1424"/>
      <c r="AK63" s="1424"/>
      <c r="AL63" s="1424"/>
      <c r="AM63" s="1424"/>
      <c r="AN63" s="1424"/>
      <c r="AO63" s="1424"/>
      <c r="AP63" s="1424"/>
      <c r="AQ63" s="1424"/>
      <c r="AR63" s="1424"/>
      <c r="AS63" s="1424"/>
      <c r="AT63" s="1424"/>
      <c r="AU63" s="1456"/>
    </row>
    <row r="64" spans="1:47" ht="12.75" customHeight="1">
      <c r="A64" s="1412"/>
      <c r="B64" s="1413"/>
      <c r="C64" s="1413"/>
      <c r="D64" s="1413"/>
      <c r="E64" s="1413"/>
      <c r="F64" s="1413"/>
      <c r="G64" s="1413"/>
      <c r="H64" s="1413"/>
      <c r="I64" s="1413"/>
      <c r="J64" s="1413"/>
      <c r="K64" s="1424"/>
      <c r="L64" s="1424"/>
      <c r="M64" s="1424"/>
      <c r="N64" s="1424"/>
      <c r="O64" s="1424"/>
      <c r="P64" s="1424"/>
      <c r="Q64" s="1424"/>
      <c r="R64" s="1424"/>
      <c r="S64" s="1424"/>
      <c r="T64" s="1424"/>
      <c r="U64" s="1426"/>
      <c r="V64" s="1426"/>
      <c r="W64" s="1426"/>
      <c r="X64" s="1426"/>
      <c r="Y64" s="1426"/>
      <c r="Z64" s="1426"/>
      <c r="AA64" s="1426"/>
      <c r="AB64" s="1426"/>
      <c r="AC64" s="1426"/>
      <c r="AD64" s="1426"/>
      <c r="AE64" s="1426"/>
      <c r="AF64" s="1424"/>
      <c r="AG64" s="1424"/>
      <c r="AH64" s="1424"/>
      <c r="AI64" s="1424"/>
      <c r="AJ64" s="1424"/>
      <c r="AK64" s="1424"/>
      <c r="AL64" s="1424"/>
      <c r="AM64" s="1424"/>
      <c r="AN64" s="1424"/>
      <c r="AO64" s="1424"/>
      <c r="AP64" s="1424"/>
      <c r="AQ64" s="1424"/>
      <c r="AR64" s="1424"/>
      <c r="AS64" s="1424"/>
      <c r="AT64" s="1424"/>
      <c r="AU64" s="1456"/>
    </row>
    <row r="65" spans="1:47" ht="12.75" customHeight="1">
      <c r="A65" s="1412"/>
      <c r="B65" s="1413"/>
      <c r="C65" s="1413"/>
      <c r="D65" s="1413"/>
      <c r="E65" s="1413"/>
      <c r="F65" s="1413"/>
      <c r="G65" s="1413"/>
      <c r="H65" s="1413"/>
      <c r="I65" s="1413"/>
      <c r="J65" s="1413"/>
      <c r="K65" s="1411"/>
      <c r="L65" s="1411"/>
      <c r="M65" s="1411"/>
      <c r="N65" s="1411"/>
      <c r="O65" s="1411"/>
      <c r="P65" s="1411"/>
      <c r="Q65" s="1411"/>
      <c r="R65" s="1411"/>
      <c r="S65" s="1411"/>
      <c r="T65" s="1411"/>
      <c r="U65" s="1427"/>
      <c r="V65" s="1427"/>
      <c r="W65" s="1427"/>
      <c r="X65" s="1427"/>
      <c r="Y65" s="1427"/>
      <c r="Z65" s="1427"/>
      <c r="AA65" s="1427"/>
      <c r="AB65" s="1427"/>
      <c r="AC65" s="1427"/>
      <c r="AD65" s="1427"/>
      <c r="AE65" s="1427"/>
      <c r="AF65" s="1411"/>
      <c r="AG65" s="1411"/>
      <c r="AH65" s="1411"/>
      <c r="AI65" s="1411"/>
      <c r="AJ65" s="1411"/>
      <c r="AK65" s="1411"/>
      <c r="AL65" s="1411"/>
      <c r="AM65" s="1411"/>
      <c r="AN65" s="1411"/>
      <c r="AO65" s="1411"/>
      <c r="AP65" s="1411"/>
      <c r="AQ65" s="1411"/>
      <c r="AR65" s="1411"/>
      <c r="AS65" s="1411"/>
      <c r="AT65" s="1411"/>
      <c r="AU65" s="1417"/>
    </row>
    <row r="66" spans="1:47" ht="16.5" customHeight="1">
      <c r="A66" s="1421" t="str">
        <f>VLOOKUP("Software-Sachnummer 4",Translations!$A:$T,MATCH(Cover!DR19,Translations!A2:P2,0),0)</f>
        <v>Software part number 4</v>
      </c>
      <c r="B66" s="1422"/>
      <c r="C66" s="1422"/>
      <c r="D66" s="1422"/>
      <c r="E66" s="1422"/>
      <c r="F66" s="1422"/>
      <c r="G66" s="1422"/>
      <c r="H66" s="1422"/>
      <c r="I66" s="1422"/>
      <c r="J66" s="1422"/>
      <c r="K66" s="1423"/>
      <c r="L66" s="1423"/>
      <c r="M66" s="1423"/>
      <c r="N66" s="1423"/>
      <c r="O66" s="1423"/>
      <c r="P66" s="1423"/>
      <c r="Q66" s="1423"/>
      <c r="R66" s="1423"/>
      <c r="S66" s="1423"/>
      <c r="T66" s="1423"/>
      <c r="U66" s="1425" t="s">
        <v>99</v>
      </c>
      <c r="V66" s="1425"/>
      <c r="W66" s="1425"/>
      <c r="X66" s="1425"/>
      <c r="Y66" s="1425"/>
      <c r="Z66" s="1425"/>
      <c r="AA66" s="1425"/>
      <c r="AB66" s="1425"/>
      <c r="AC66" s="1425"/>
      <c r="AD66" s="1425"/>
      <c r="AE66" s="1425"/>
      <c r="AF66" s="1423"/>
      <c r="AG66" s="1423"/>
      <c r="AH66" s="1423"/>
      <c r="AI66" s="1423"/>
      <c r="AJ66" s="1423"/>
      <c r="AK66" s="1423"/>
      <c r="AL66" s="1423"/>
      <c r="AM66" s="1423"/>
      <c r="AN66" s="1423"/>
      <c r="AO66" s="1423"/>
      <c r="AP66" s="1423"/>
      <c r="AQ66" s="1423"/>
      <c r="AR66" s="1423"/>
      <c r="AS66" s="1423"/>
      <c r="AT66" s="1423"/>
      <c r="AU66" s="1455"/>
    </row>
    <row r="67" spans="1:47" ht="12.75" customHeight="1">
      <c r="A67" s="1410"/>
      <c r="B67" s="1411"/>
      <c r="C67" s="1411"/>
      <c r="D67" s="1411"/>
      <c r="E67" s="1411"/>
      <c r="F67" s="1411"/>
      <c r="G67" s="1411"/>
      <c r="H67" s="1411"/>
      <c r="I67" s="1411"/>
      <c r="J67" s="1411"/>
      <c r="K67" s="1424"/>
      <c r="L67" s="1424"/>
      <c r="M67" s="1424"/>
      <c r="N67" s="1424"/>
      <c r="O67" s="1424"/>
      <c r="P67" s="1424"/>
      <c r="Q67" s="1424"/>
      <c r="R67" s="1424"/>
      <c r="S67" s="1424"/>
      <c r="T67" s="1424"/>
      <c r="U67" s="1426"/>
      <c r="V67" s="1426"/>
      <c r="W67" s="1426"/>
      <c r="X67" s="1426"/>
      <c r="Y67" s="1426"/>
      <c r="Z67" s="1426"/>
      <c r="AA67" s="1426"/>
      <c r="AB67" s="1426"/>
      <c r="AC67" s="1426"/>
      <c r="AD67" s="1426"/>
      <c r="AE67" s="1426"/>
      <c r="AF67" s="1424"/>
      <c r="AG67" s="1424"/>
      <c r="AH67" s="1424"/>
      <c r="AI67" s="1424"/>
      <c r="AJ67" s="1424"/>
      <c r="AK67" s="1424"/>
      <c r="AL67" s="1424"/>
      <c r="AM67" s="1424"/>
      <c r="AN67" s="1424"/>
      <c r="AO67" s="1424"/>
      <c r="AP67" s="1424"/>
      <c r="AQ67" s="1424"/>
      <c r="AR67" s="1424"/>
      <c r="AS67" s="1424"/>
      <c r="AT67" s="1424"/>
      <c r="AU67" s="1456"/>
    </row>
    <row r="68" spans="1:47" ht="12.75" customHeight="1">
      <c r="A68" s="1412"/>
      <c r="B68" s="1413"/>
      <c r="C68" s="1413"/>
      <c r="D68" s="1413"/>
      <c r="E68" s="1413"/>
      <c r="F68" s="1413"/>
      <c r="G68" s="1413"/>
      <c r="H68" s="1413"/>
      <c r="I68" s="1413"/>
      <c r="J68" s="1413"/>
      <c r="K68" s="1424"/>
      <c r="L68" s="1424"/>
      <c r="M68" s="1424"/>
      <c r="N68" s="1424"/>
      <c r="O68" s="1424"/>
      <c r="P68" s="1424"/>
      <c r="Q68" s="1424"/>
      <c r="R68" s="1424"/>
      <c r="S68" s="1424"/>
      <c r="T68" s="1424"/>
      <c r="U68" s="1426"/>
      <c r="V68" s="1426"/>
      <c r="W68" s="1426"/>
      <c r="X68" s="1426"/>
      <c r="Y68" s="1426"/>
      <c r="Z68" s="1426"/>
      <c r="AA68" s="1426"/>
      <c r="AB68" s="1426"/>
      <c r="AC68" s="1426"/>
      <c r="AD68" s="1426"/>
      <c r="AE68" s="1426"/>
      <c r="AF68" s="1424"/>
      <c r="AG68" s="1424"/>
      <c r="AH68" s="1424"/>
      <c r="AI68" s="1424"/>
      <c r="AJ68" s="1424"/>
      <c r="AK68" s="1424"/>
      <c r="AL68" s="1424"/>
      <c r="AM68" s="1424"/>
      <c r="AN68" s="1424"/>
      <c r="AO68" s="1424"/>
      <c r="AP68" s="1424"/>
      <c r="AQ68" s="1424"/>
      <c r="AR68" s="1424"/>
      <c r="AS68" s="1424"/>
      <c r="AT68" s="1424"/>
      <c r="AU68" s="1456"/>
    </row>
    <row r="69" spans="1:47" ht="13.5" customHeight="1" thickBot="1">
      <c r="A69" s="1452"/>
      <c r="B69" s="1453"/>
      <c r="C69" s="1453"/>
      <c r="D69" s="1453"/>
      <c r="E69" s="1453"/>
      <c r="F69" s="1453"/>
      <c r="G69" s="1453"/>
      <c r="H69" s="1453"/>
      <c r="I69" s="1453"/>
      <c r="J69" s="1453"/>
      <c r="K69" s="1457"/>
      <c r="L69" s="1457"/>
      <c r="M69" s="1457"/>
      <c r="N69" s="1457"/>
      <c r="O69" s="1457"/>
      <c r="P69" s="1457"/>
      <c r="Q69" s="1457"/>
      <c r="R69" s="1457"/>
      <c r="S69" s="1457"/>
      <c r="T69" s="1457"/>
      <c r="U69" s="1459"/>
      <c r="V69" s="1459"/>
      <c r="W69" s="1459"/>
      <c r="X69" s="1459"/>
      <c r="Y69" s="1459"/>
      <c r="Z69" s="1459"/>
      <c r="AA69" s="1459"/>
      <c r="AB69" s="1459"/>
      <c r="AC69" s="1459"/>
      <c r="AD69" s="1459"/>
      <c r="AE69" s="1459"/>
      <c r="AF69" s="1457"/>
      <c r="AG69" s="1457"/>
      <c r="AH69" s="1457"/>
      <c r="AI69" s="1457"/>
      <c r="AJ69" s="1457"/>
      <c r="AK69" s="1457"/>
      <c r="AL69" s="1457"/>
      <c r="AM69" s="1457"/>
      <c r="AN69" s="1457"/>
      <c r="AO69" s="1457"/>
      <c r="AP69" s="1457"/>
      <c r="AQ69" s="1457"/>
      <c r="AR69" s="1457"/>
      <c r="AS69" s="1457"/>
      <c r="AT69" s="1457"/>
      <c r="AU69" s="1458"/>
    </row>
    <row r="70" spans="1:47" ht="13.5" thickBot="1">
      <c r="A70" s="628"/>
      <c r="B70" s="629"/>
      <c r="C70" s="629"/>
      <c r="D70" s="629"/>
      <c r="E70" s="629"/>
      <c r="F70" s="629"/>
      <c r="G70" s="629"/>
      <c r="H70" s="629"/>
      <c r="I70" s="629"/>
      <c r="J70" s="629"/>
      <c r="K70" s="629"/>
      <c r="L70" s="629"/>
      <c r="M70" s="629"/>
      <c r="N70" s="629"/>
      <c r="O70" s="629"/>
      <c r="P70" s="629"/>
      <c r="Q70" s="629"/>
      <c r="R70" s="629"/>
      <c r="S70" s="629"/>
      <c r="T70" s="629"/>
      <c r="U70" s="629"/>
      <c r="V70" s="629"/>
      <c r="W70" s="629"/>
      <c r="X70" s="629"/>
      <c r="Y70" s="629"/>
      <c r="Z70" s="629"/>
      <c r="AA70" s="629"/>
      <c r="AB70" s="629"/>
      <c r="AC70" s="629"/>
      <c r="AD70" s="629"/>
      <c r="AE70" s="629"/>
      <c r="AF70" s="629"/>
      <c r="AG70" s="629"/>
      <c r="AH70" s="629"/>
      <c r="AI70" s="629"/>
      <c r="AJ70" s="629"/>
      <c r="AK70" s="629"/>
      <c r="AL70" s="629"/>
      <c r="AM70" s="629"/>
      <c r="AN70" s="629"/>
      <c r="AO70" s="629"/>
      <c r="AP70" s="629"/>
      <c r="AQ70" s="629"/>
      <c r="AR70" s="629"/>
      <c r="AS70" s="629"/>
      <c r="AT70" s="629"/>
      <c r="AU70" s="630"/>
    </row>
    <row r="71" spans="1:47" ht="21" customHeight="1">
      <c r="A71" s="1399" t="str">
        <f>VLOOKUP("Freigabe:",Translations!$A:$T,MATCH(Cover!DR19,Translations!A2:P2,0),0)</f>
        <v>Approval:</v>
      </c>
      <c r="B71" s="1400"/>
      <c r="C71" s="1400"/>
      <c r="D71" s="1400"/>
      <c r="E71" s="1400"/>
      <c r="F71" s="627"/>
      <c r="G71" s="627"/>
      <c r="H71" s="627"/>
      <c r="I71" s="627"/>
      <c r="J71" s="627"/>
      <c r="K71" s="627"/>
      <c r="L71" s="627"/>
      <c r="M71" s="627"/>
      <c r="N71" s="627"/>
      <c r="O71" s="627"/>
      <c r="P71" s="627"/>
      <c r="Q71" s="627"/>
      <c r="R71" s="627"/>
      <c r="S71" s="627"/>
      <c r="T71" s="627"/>
      <c r="U71" s="627"/>
      <c r="V71" s="627"/>
      <c r="W71" s="627"/>
      <c r="X71" s="627"/>
      <c r="Y71" s="627"/>
      <c r="Z71" s="627"/>
      <c r="AA71" s="627"/>
      <c r="AB71" s="627"/>
      <c r="AC71" s="627"/>
      <c r="AD71" s="627"/>
      <c r="AE71" s="627"/>
      <c r="AF71" s="627"/>
      <c r="AG71" s="627"/>
      <c r="AH71" s="627"/>
      <c r="AI71" s="627"/>
      <c r="AJ71" s="627"/>
      <c r="AK71" s="627"/>
      <c r="AL71" s="627"/>
      <c r="AM71" s="627"/>
      <c r="AN71" s="627"/>
      <c r="AO71" s="627"/>
      <c r="AP71" s="627"/>
      <c r="AQ71" s="627"/>
      <c r="AR71" s="627"/>
      <c r="AS71" s="627"/>
      <c r="AT71" s="627"/>
      <c r="AU71" s="631"/>
    </row>
    <row r="72" spans="1:47" ht="12.75" customHeight="1">
      <c r="A72" s="632"/>
      <c r="B72" s="1433"/>
      <c r="C72" s="1433"/>
      <c r="D72" s="1433"/>
      <c r="E72" s="1433"/>
      <c r="F72" s="1433"/>
      <c r="G72" s="1433"/>
      <c r="H72" s="1433"/>
      <c r="I72" s="1433"/>
      <c r="J72" s="1433"/>
      <c r="K72" s="1433"/>
      <c r="L72" s="75"/>
      <c r="M72" s="75"/>
      <c r="N72" s="75"/>
      <c r="O72" s="75"/>
      <c r="P72" s="75"/>
      <c r="Q72" s="75"/>
      <c r="R72" s="75"/>
      <c r="S72" s="75"/>
      <c r="T72" s="75"/>
      <c r="U72" s="75"/>
      <c r="V72" s="75"/>
      <c r="W72" s="75"/>
      <c r="X72" s="75"/>
      <c r="Y72" s="75"/>
      <c r="Z72" s="75"/>
      <c r="AA72" s="75"/>
      <c r="AB72" s="75"/>
      <c r="AC72" s="75"/>
      <c r="AD72" s="75"/>
      <c r="AE72" s="75"/>
      <c r="AF72" s="75"/>
      <c r="AG72" s="75"/>
      <c r="AH72" s="75"/>
      <c r="AI72" s="1433"/>
      <c r="AJ72" s="1433"/>
      <c r="AK72" s="1433"/>
      <c r="AL72" s="1433"/>
      <c r="AM72" s="1433"/>
      <c r="AN72" s="1433"/>
      <c r="AO72" s="1433"/>
      <c r="AP72" s="1433"/>
      <c r="AQ72" s="1433"/>
      <c r="AR72" s="1433"/>
      <c r="AS72" s="1433"/>
      <c r="AT72" s="1433"/>
      <c r="AU72" s="633"/>
    </row>
    <row r="73" spans="1:47" ht="12.75" customHeight="1">
      <c r="A73" s="632"/>
      <c r="B73" s="1433"/>
      <c r="C73" s="1433"/>
      <c r="D73" s="1433"/>
      <c r="E73" s="1433"/>
      <c r="F73" s="1433"/>
      <c r="G73" s="1433"/>
      <c r="H73" s="1433"/>
      <c r="I73" s="1433"/>
      <c r="J73" s="1433"/>
      <c r="K73" s="1433"/>
      <c r="L73" s="75"/>
      <c r="M73" s="75"/>
      <c r="N73" s="75"/>
      <c r="O73" s="75"/>
      <c r="P73" s="75"/>
      <c r="Q73" s="75"/>
      <c r="R73" s="75"/>
      <c r="S73" s="75"/>
      <c r="T73" s="75"/>
      <c r="U73" s="75"/>
      <c r="V73" s="75"/>
      <c r="W73" s="75"/>
      <c r="X73" s="75"/>
      <c r="Y73" s="75"/>
      <c r="Z73" s="75"/>
      <c r="AA73" s="75"/>
      <c r="AB73" s="75"/>
      <c r="AC73" s="75"/>
      <c r="AD73" s="75"/>
      <c r="AE73" s="75"/>
      <c r="AF73" s="75"/>
      <c r="AG73" s="75"/>
      <c r="AH73" s="75"/>
      <c r="AI73" s="1433"/>
      <c r="AJ73" s="1433"/>
      <c r="AK73" s="1433"/>
      <c r="AL73" s="1433"/>
      <c r="AM73" s="1433"/>
      <c r="AN73" s="1433"/>
      <c r="AO73" s="1433"/>
      <c r="AP73" s="1433"/>
      <c r="AQ73" s="1433"/>
      <c r="AR73" s="1433"/>
      <c r="AS73" s="1433"/>
      <c r="AT73" s="1433"/>
      <c r="AU73" s="633"/>
    </row>
    <row r="74" spans="1:47" ht="13.5" customHeight="1">
      <c r="A74" s="632"/>
      <c r="B74" s="1436"/>
      <c r="C74" s="1436"/>
      <c r="D74" s="1436"/>
      <c r="E74" s="1436"/>
      <c r="F74" s="1436"/>
      <c r="G74" s="1436"/>
      <c r="H74" s="1436"/>
      <c r="I74" s="1436"/>
      <c r="J74" s="1436"/>
      <c r="K74" s="1436"/>
      <c r="L74" s="75"/>
      <c r="M74" s="75"/>
      <c r="N74" s="75"/>
      <c r="O74" s="75"/>
      <c r="P74" s="75"/>
      <c r="Q74" s="75"/>
      <c r="R74" s="75"/>
      <c r="S74" s="75"/>
      <c r="T74" s="75"/>
      <c r="U74" s="75"/>
      <c r="V74" s="75"/>
      <c r="W74" s="75"/>
      <c r="X74" s="75"/>
      <c r="Y74" s="75"/>
      <c r="Z74" s="75"/>
      <c r="AA74" s="75"/>
      <c r="AB74" s="75"/>
      <c r="AC74" s="75"/>
      <c r="AD74" s="75"/>
      <c r="AE74" s="75"/>
      <c r="AF74" s="75"/>
      <c r="AG74" s="75"/>
      <c r="AH74" s="75"/>
      <c r="AI74" s="1436"/>
      <c r="AJ74" s="1436"/>
      <c r="AK74" s="1436"/>
      <c r="AL74" s="1436"/>
      <c r="AM74" s="1436"/>
      <c r="AN74" s="1436"/>
      <c r="AO74" s="1436"/>
      <c r="AP74" s="1436"/>
      <c r="AQ74" s="1436"/>
      <c r="AR74" s="1436"/>
      <c r="AS74" s="1436"/>
      <c r="AT74" s="1436"/>
      <c r="AU74" s="633"/>
    </row>
    <row r="75" spans="1:47" ht="18" customHeight="1" thickBot="1">
      <c r="A75" s="634"/>
      <c r="B75" s="1454" t="str">
        <f>VLOOKUP("Datum:",Translations!$A:$T,MATCH(Cover!DR19,Translations!A2:P2,0),0)</f>
        <v>Date</v>
      </c>
      <c r="C75" s="1454"/>
      <c r="D75" s="1454"/>
      <c r="E75" s="1454"/>
      <c r="F75" s="1454"/>
      <c r="G75" s="1454"/>
      <c r="H75" s="1454"/>
      <c r="I75" s="1454"/>
      <c r="J75" s="1454"/>
      <c r="K75" s="1454"/>
      <c r="L75" s="635"/>
      <c r="M75" s="635"/>
      <c r="N75" s="635"/>
      <c r="O75" s="635"/>
      <c r="P75" s="635"/>
      <c r="Q75" s="635"/>
      <c r="R75" s="635"/>
      <c r="S75" s="635"/>
      <c r="T75" s="635"/>
      <c r="U75" s="635"/>
      <c r="V75" s="635"/>
      <c r="W75" s="635"/>
      <c r="X75" s="635"/>
      <c r="Y75" s="635"/>
      <c r="Z75" s="635"/>
      <c r="AA75" s="635"/>
      <c r="AB75" s="635"/>
      <c r="AC75" s="635"/>
      <c r="AD75" s="635"/>
      <c r="AE75" s="635"/>
      <c r="AF75" s="635"/>
      <c r="AG75" s="635"/>
      <c r="AH75" s="635"/>
      <c r="AI75" s="1454" t="str">
        <f>VLOOKUP("Unterschrift:",Translations!$A:$T,MATCH(Cover!DR19,Translations!A2:P2,0),0)</f>
        <v>Signature</v>
      </c>
      <c r="AJ75" s="1454"/>
      <c r="AK75" s="1454"/>
      <c r="AL75" s="1454"/>
      <c r="AM75" s="1454"/>
      <c r="AN75" s="1454"/>
      <c r="AO75" s="1454"/>
      <c r="AP75" s="1454"/>
      <c r="AQ75" s="1454"/>
      <c r="AR75" s="1454"/>
      <c r="AS75" s="1454"/>
      <c r="AT75" s="1454"/>
      <c r="AU75" s="636"/>
    </row>
  </sheetData>
  <sheetProtection algorithmName="SHA-512" hashValue="SC/4mkKTM7xMy0837m2+waNMqzxOwlHME2k32qSDjtrDNwTHIA7fQ6JRw3RcvsHrgC6sAl0YJFVfwjYafLYWxQ==" saltValue="pJlxaBJc54jQuQYQ9wAHmg==" spinCount="100000" sheet="1" scenarios="1" formatCells="0" formatColumns="0" formatRows="0" selectLockedCells="1"/>
  <mergeCells count="97">
    <mergeCell ref="A1:AU2"/>
    <mergeCell ref="AI75:AT75"/>
    <mergeCell ref="A3:N3"/>
    <mergeCell ref="A8:N8"/>
    <mergeCell ref="AI3:AU3"/>
    <mergeCell ref="X13:AU13"/>
    <mergeCell ref="A13:W13"/>
    <mergeCell ref="A21:AU21"/>
    <mergeCell ref="A26:AU26"/>
    <mergeCell ref="A36:AU36"/>
    <mergeCell ref="O3:AH7"/>
    <mergeCell ref="O8:AH11"/>
    <mergeCell ref="B72:K74"/>
    <mergeCell ref="AI72:AT74"/>
    <mergeCell ref="K54:T57"/>
    <mergeCell ref="K58:T61"/>
    <mergeCell ref="K62:T65"/>
    <mergeCell ref="K66:T69"/>
    <mergeCell ref="U54:AE57"/>
    <mergeCell ref="U58:AE61"/>
    <mergeCell ref="U62:AE65"/>
    <mergeCell ref="U66:AE69"/>
    <mergeCell ref="A41:AU41"/>
    <mergeCell ref="A27:AU29"/>
    <mergeCell ref="A22:AU24"/>
    <mergeCell ref="A67:J69"/>
    <mergeCell ref="B75:K75"/>
    <mergeCell ref="AF54:AM57"/>
    <mergeCell ref="AN54:AU57"/>
    <mergeCell ref="AF58:AM61"/>
    <mergeCell ref="AN58:AU61"/>
    <mergeCell ref="AF62:AM65"/>
    <mergeCell ref="AN62:AU65"/>
    <mergeCell ref="AF66:AM69"/>
    <mergeCell ref="AN66:AU69"/>
    <mergeCell ref="AN50:AU53"/>
    <mergeCell ref="A54:J54"/>
    <mergeCell ref="A58:J58"/>
    <mergeCell ref="A4:N7"/>
    <mergeCell ref="AI4:AU7"/>
    <mergeCell ref="AI8:AU11"/>
    <mergeCell ref="A9:N11"/>
    <mergeCell ref="A14:W15"/>
    <mergeCell ref="X14:AU15"/>
    <mergeCell ref="A62:J62"/>
    <mergeCell ref="A66:J66"/>
    <mergeCell ref="A55:J57"/>
    <mergeCell ref="A59:J61"/>
    <mergeCell ref="A63:J65"/>
    <mergeCell ref="A50:J50"/>
    <mergeCell ref="A51:J53"/>
    <mergeCell ref="AF50:AM53"/>
    <mergeCell ref="K50:T53"/>
    <mergeCell ref="U50:AE53"/>
    <mergeCell ref="U43:AE45"/>
    <mergeCell ref="AF43:AM45"/>
    <mergeCell ref="AN43:AU45"/>
    <mergeCell ref="A47:J49"/>
    <mergeCell ref="K46:T49"/>
    <mergeCell ref="U46:AE49"/>
    <mergeCell ref="AF46:AM49"/>
    <mergeCell ref="AN46:AU49"/>
    <mergeCell ref="A46:J46"/>
    <mergeCell ref="A71:E71"/>
    <mergeCell ref="G17:O17"/>
    <mergeCell ref="P17:U17"/>
    <mergeCell ref="V17:AE17"/>
    <mergeCell ref="AF17:AM17"/>
    <mergeCell ref="A31:R31"/>
    <mergeCell ref="S31:AU31"/>
    <mergeCell ref="A42:J42"/>
    <mergeCell ref="K42:T42"/>
    <mergeCell ref="U42:AE42"/>
    <mergeCell ref="AF42:AM42"/>
    <mergeCell ref="AN42:AU42"/>
    <mergeCell ref="A43:J45"/>
    <mergeCell ref="K43:T45"/>
    <mergeCell ref="AN17:AU17"/>
    <mergeCell ref="A18:F18"/>
    <mergeCell ref="AN18:AU18"/>
    <mergeCell ref="G18:O18"/>
    <mergeCell ref="P18:U18"/>
    <mergeCell ref="V18:AE18"/>
    <mergeCell ref="AF18:AM18"/>
    <mergeCell ref="A37:AU39"/>
    <mergeCell ref="A19:F19"/>
    <mergeCell ref="S32:AU32"/>
    <mergeCell ref="S33:AU33"/>
    <mergeCell ref="S34:AU34"/>
    <mergeCell ref="A32:R32"/>
    <mergeCell ref="A33:R33"/>
    <mergeCell ref="A34:R34"/>
    <mergeCell ref="G19:O19"/>
    <mergeCell ref="P19:U19"/>
    <mergeCell ref="V19:AE19"/>
    <mergeCell ref="AF19:AM19"/>
    <mergeCell ref="AN19:AU19"/>
  </mergeCells>
  <printOptions horizontalCentered="1"/>
  <pageMargins left="0.23622047244094491" right="0.23622047244094491" top="0.74803149606299213" bottom="0.51181102362204722" header="0.23622047244094491" footer="0.31496062992125984"/>
  <pageSetup paperSize="9" scale="62" fitToHeight="2" orientation="portrait" r:id="rId1"/>
  <headerFooter>
    <oddHeader>&amp;R&amp;G</oddHeader>
    <oddFooter>&amp;LMHG-PU-F-0019&amp;CPPA-Template ; Rev.: 02/2018&amp;RJ.-U. Liedtke / PU-SG-GA</oddFooter>
  </headerFooter>
  <legacyDrawingHF r:id="rId2"/>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8">
    <pageSetUpPr fitToPage="1"/>
  </sheetPr>
  <dimension ref="A3:AZ111"/>
  <sheetViews>
    <sheetView showGridLines="0" zoomScaleNormal="100" workbookViewId="0">
      <selection activeCell="A5" sqref="A5:O8"/>
    </sheetView>
  </sheetViews>
  <sheetFormatPr baseColWidth="10" defaultColWidth="9.140625" defaultRowHeight="12.75"/>
  <cols>
    <col min="1" max="52" width="3.42578125" style="624" customWidth="1"/>
    <col min="53" max="16384" width="9.140625" style="624"/>
  </cols>
  <sheetData>
    <row r="3" spans="1:52" ht="13.5" thickBot="1"/>
    <row r="4" spans="1:52" ht="16.5" customHeight="1">
      <c r="A4" s="1523" t="str">
        <f>VLOOKUP("ysachnummery",Translations!$A:$T,MATCH(Cover!DR19,Translations!A2:P2,0),0)</f>
        <v>Part number:</v>
      </c>
      <c r="B4" s="1524"/>
      <c r="C4" s="1524"/>
      <c r="D4" s="1524"/>
      <c r="E4" s="1524"/>
      <c r="F4" s="1524"/>
      <c r="G4" s="1524"/>
      <c r="H4" s="1524"/>
      <c r="I4" s="1524"/>
      <c r="J4" s="1524"/>
      <c r="K4" s="1524"/>
      <c r="L4" s="1524"/>
      <c r="M4" s="1524"/>
      <c r="N4" s="1524"/>
      <c r="O4" s="1525"/>
      <c r="P4" s="1526" t="str">
        <f>VLOOKUP("Softwareprüfbericht",Translations!$A:$T,MATCH(Cover!DR19,Translations!A2:P2,0),0)</f>
        <v>Software Test Report</v>
      </c>
      <c r="Q4" s="1472"/>
      <c r="R4" s="1472"/>
      <c r="S4" s="1472"/>
      <c r="T4" s="1472"/>
      <c r="U4" s="1472"/>
      <c r="V4" s="1472"/>
      <c r="W4" s="1472"/>
      <c r="X4" s="1472"/>
      <c r="Y4" s="1472"/>
      <c r="Z4" s="1472"/>
      <c r="AA4" s="1472"/>
      <c r="AB4" s="1472"/>
      <c r="AC4" s="1472"/>
      <c r="AD4" s="1472"/>
      <c r="AE4" s="1472"/>
      <c r="AF4" s="1472"/>
      <c r="AG4" s="1472"/>
      <c r="AH4" s="1472"/>
      <c r="AI4" s="1472"/>
      <c r="AJ4" s="1472"/>
      <c r="AK4" s="1472"/>
      <c r="AL4" s="1472"/>
      <c r="AM4" s="1472"/>
      <c r="AN4" s="1472"/>
      <c r="AO4" s="1472"/>
      <c r="AP4" s="1472"/>
      <c r="AQ4" s="1472"/>
      <c r="AR4" s="1472"/>
      <c r="AS4" s="1472"/>
      <c r="AT4" s="1472"/>
      <c r="AU4" s="1472"/>
      <c r="AV4" s="1472"/>
      <c r="AW4" s="1472"/>
      <c r="AX4" s="1472"/>
      <c r="AY4" s="1472"/>
      <c r="AZ4" s="1527"/>
    </row>
    <row r="5" spans="1:52" ht="15" customHeight="1">
      <c r="A5" s="1445"/>
      <c r="B5" s="1433"/>
      <c r="C5" s="1433"/>
      <c r="D5" s="1433"/>
      <c r="E5" s="1433"/>
      <c r="F5" s="1433"/>
      <c r="G5" s="1433"/>
      <c r="H5" s="1433"/>
      <c r="I5" s="1433"/>
      <c r="J5" s="1433"/>
      <c r="K5" s="1433"/>
      <c r="L5" s="1433"/>
      <c r="M5" s="1433"/>
      <c r="N5" s="1433"/>
      <c r="O5" s="1434"/>
      <c r="P5" s="1528"/>
      <c r="Q5" s="1473"/>
      <c r="R5" s="1473"/>
      <c r="S5" s="1473"/>
      <c r="T5" s="1473"/>
      <c r="U5" s="1473"/>
      <c r="V5" s="1473"/>
      <c r="W5" s="1473"/>
      <c r="X5" s="1473"/>
      <c r="Y5" s="1473"/>
      <c r="Z5" s="1473"/>
      <c r="AA5" s="1473"/>
      <c r="AB5" s="1473"/>
      <c r="AC5" s="1473"/>
      <c r="AD5" s="1473"/>
      <c r="AE5" s="1473"/>
      <c r="AF5" s="1473"/>
      <c r="AG5" s="1473"/>
      <c r="AH5" s="1473"/>
      <c r="AI5" s="1473"/>
      <c r="AJ5" s="1473"/>
      <c r="AK5" s="1473"/>
      <c r="AL5" s="1473"/>
      <c r="AM5" s="1473"/>
      <c r="AN5" s="1473"/>
      <c r="AO5" s="1473"/>
      <c r="AP5" s="1473"/>
      <c r="AQ5" s="1473"/>
      <c r="AR5" s="1473"/>
      <c r="AS5" s="1473"/>
      <c r="AT5" s="1473"/>
      <c r="AU5" s="1473"/>
      <c r="AV5" s="1473"/>
      <c r="AW5" s="1473"/>
      <c r="AX5" s="1473"/>
      <c r="AY5" s="1473"/>
      <c r="AZ5" s="1529"/>
    </row>
    <row r="6" spans="1:52">
      <c r="A6" s="1445"/>
      <c r="B6" s="1433"/>
      <c r="C6" s="1433"/>
      <c r="D6" s="1433"/>
      <c r="E6" s="1433"/>
      <c r="F6" s="1433"/>
      <c r="G6" s="1433"/>
      <c r="H6" s="1433"/>
      <c r="I6" s="1433"/>
      <c r="J6" s="1433"/>
      <c r="K6" s="1433"/>
      <c r="L6" s="1433"/>
      <c r="M6" s="1433"/>
      <c r="N6" s="1433"/>
      <c r="O6" s="1434"/>
      <c r="P6" s="1528"/>
      <c r="Q6" s="1473"/>
      <c r="R6" s="1473"/>
      <c r="S6" s="1473"/>
      <c r="T6" s="1473"/>
      <c r="U6" s="1473"/>
      <c r="V6" s="1473"/>
      <c r="W6" s="1473"/>
      <c r="X6" s="1473"/>
      <c r="Y6" s="1473"/>
      <c r="Z6" s="1473"/>
      <c r="AA6" s="1473"/>
      <c r="AB6" s="1473"/>
      <c r="AC6" s="1473"/>
      <c r="AD6" s="1473"/>
      <c r="AE6" s="1473"/>
      <c r="AF6" s="1473"/>
      <c r="AG6" s="1473"/>
      <c r="AH6" s="1473"/>
      <c r="AI6" s="1473"/>
      <c r="AJ6" s="1473"/>
      <c r="AK6" s="1473"/>
      <c r="AL6" s="1473"/>
      <c r="AM6" s="1473"/>
      <c r="AN6" s="1473"/>
      <c r="AO6" s="1473"/>
      <c r="AP6" s="1473"/>
      <c r="AQ6" s="1473"/>
      <c r="AR6" s="1473"/>
      <c r="AS6" s="1473"/>
      <c r="AT6" s="1473"/>
      <c r="AU6" s="1473"/>
      <c r="AV6" s="1473"/>
      <c r="AW6" s="1473"/>
      <c r="AX6" s="1473"/>
      <c r="AY6" s="1473"/>
      <c r="AZ6" s="1529"/>
    </row>
    <row r="7" spans="1:52">
      <c r="A7" s="1445"/>
      <c r="B7" s="1433"/>
      <c r="C7" s="1433"/>
      <c r="D7" s="1433"/>
      <c r="E7" s="1433"/>
      <c r="F7" s="1433"/>
      <c r="G7" s="1433"/>
      <c r="H7" s="1433"/>
      <c r="I7" s="1433"/>
      <c r="J7" s="1433"/>
      <c r="K7" s="1433"/>
      <c r="L7" s="1433"/>
      <c r="M7" s="1433"/>
      <c r="N7" s="1433"/>
      <c r="O7" s="1434"/>
      <c r="P7" s="1528"/>
      <c r="Q7" s="1473"/>
      <c r="R7" s="1473"/>
      <c r="S7" s="1473"/>
      <c r="T7" s="1473"/>
      <c r="U7" s="1473"/>
      <c r="V7" s="1473"/>
      <c r="W7" s="1473"/>
      <c r="X7" s="1473"/>
      <c r="Y7" s="1473"/>
      <c r="Z7" s="1473"/>
      <c r="AA7" s="1473"/>
      <c r="AB7" s="1473"/>
      <c r="AC7" s="1473"/>
      <c r="AD7" s="1473"/>
      <c r="AE7" s="1473"/>
      <c r="AF7" s="1473"/>
      <c r="AG7" s="1473"/>
      <c r="AH7" s="1473"/>
      <c r="AI7" s="1473"/>
      <c r="AJ7" s="1473"/>
      <c r="AK7" s="1473"/>
      <c r="AL7" s="1473"/>
      <c r="AM7" s="1473"/>
      <c r="AN7" s="1473"/>
      <c r="AO7" s="1473"/>
      <c r="AP7" s="1473"/>
      <c r="AQ7" s="1473"/>
      <c r="AR7" s="1473"/>
      <c r="AS7" s="1473"/>
      <c r="AT7" s="1473"/>
      <c r="AU7" s="1473"/>
      <c r="AV7" s="1473"/>
      <c r="AW7" s="1473"/>
      <c r="AX7" s="1473"/>
      <c r="AY7" s="1473"/>
      <c r="AZ7" s="1529"/>
    </row>
    <row r="8" spans="1:52" ht="13.5" thickBot="1">
      <c r="A8" s="1447"/>
      <c r="B8" s="1448"/>
      <c r="C8" s="1448"/>
      <c r="D8" s="1448"/>
      <c r="E8" s="1448"/>
      <c r="F8" s="1448"/>
      <c r="G8" s="1448"/>
      <c r="H8" s="1448"/>
      <c r="I8" s="1448"/>
      <c r="J8" s="1448"/>
      <c r="K8" s="1448"/>
      <c r="L8" s="1448"/>
      <c r="M8" s="1448"/>
      <c r="N8" s="1448"/>
      <c r="O8" s="1450"/>
      <c r="P8" s="1528"/>
      <c r="Q8" s="1473"/>
      <c r="R8" s="1473"/>
      <c r="S8" s="1473"/>
      <c r="T8" s="1473"/>
      <c r="U8" s="1473"/>
      <c r="V8" s="1473"/>
      <c r="W8" s="1473"/>
      <c r="X8" s="1473"/>
      <c r="Y8" s="1473"/>
      <c r="Z8" s="1473"/>
      <c r="AA8" s="1473"/>
      <c r="AB8" s="1473"/>
      <c r="AC8" s="1473"/>
      <c r="AD8" s="1473"/>
      <c r="AE8" s="1473"/>
      <c r="AF8" s="1473"/>
      <c r="AG8" s="1473"/>
      <c r="AH8" s="1473"/>
      <c r="AI8" s="1473"/>
      <c r="AJ8" s="1473"/>
      <c r="AK8" s="1473"/>
      <c r="AL8" s="1473"/>
      <c r="AM8" s="1473"/>
      <c r="AN8" s="1473"/>
      <c r="AO8" s="1473"/>
      <c r="AP8" s="1473"/>
      <c r="AQ8" s="1473"/>
      <c r="AR8" s="1473"/>
      <c r="AS8" s="1473"/>
      <c r="AT8" s="1473"/>
      <c r="AU8" s="1473"/>
      <c r="AV8" s="1473"/>
      <c r="AW8" s="1473"/>
      <c r="AX8" s="1473"/>
      <c r="AY8" s="1473"/>
      <c r="AZ8" s="1529"/>
    </row>
    <row r="9" spans="1:52" ht="16.5" customHeight="1">
      <c r="A9" s="1523" t="s">
        <v>108</v>
      </c>
      <c r="B9" s="1524"/>
      <c r="C9" s="1524"/>
      <c r="D9" s="1524"/>
      <c r="E9" s="1524"/>
      <c r="F9" s="1524"/>
      <c r="G9" s="1524"/>
      <c r="H9" s="1524"/>
      <c r="I9" s="1524"/>
      <c r="J9" s="1524"/>
      <c r="K9" s="1524"/>
      <c r="L9" s="1524"/>
      <c r="M9" s="1524"/>
      <c r="N9" s="1524"/>
      <c r="O9" s="1525"/>
      <c r="P9" s="1530" t="str">
        <f>VLOOKUP("anlage zum ppfb",Translations!$A:$T,MATCH(Cover!DR19,Translations!A2:P2,0),0)</f>
        <v>Addendum to PPAR</v>
      </c>
      <c r="Q9" s="1531"/>
      <c r="R9" s="1531"/>
      <c r="S9" s="1531"/>
      <c r="T9" s="1531"/>
      <c r="U9" s="1531"/>
      <c r="V9" s="1531"/>
      <c r="W9" s="1531"/>
      <c r="X9" s="1531"/>
      <c r="Y9" s="1531"/>
      <c r="Z9" s="1531"/>
      <c r="AA9" s="1531"/>
      <c r="AB9" s="1531"/>
      <c r="AC9" s="1531"/>
      <c r="AD9" s="1531"/>
      <c r="AE9" s="1531"/>
      <c r="AF9" s="1531"/>
      <c r="AG9" s="1531"/>
      <c r="AH9" s="1531"/>
      <c r="AI9" s="1531"/>
      <c r="AJ9" s="1531"/>
      <c r="AK9" s="1531"/>
      <c r="AL9" s="1531"/>
      <c r="AM9" s="1531"/>
      <c r="AN9" s="1531"/>
      <c r="AO9" s="1531"/>
      <c r="AP9" s="1531"/>
      <c r="AQ9" s="1531"/>
      <c r="AR9" s="1531"/>
      <c r="AS9" s="1531"/>
      <c r="AT9" s="1531"/>
      <c r="AU9" s="1531"/>
      <c r="AV9" s="1531"/>
      <c r="AW9" s="1531"/>
      <c r="AX9" s="1531"/>
      <c r="AY9" s="1531"/>
      <c r="AZ9" s="1532"/>
    </row>
    <row r="10" spans="1:52" ht="15" customHeight="1">
      <c r="A10" s="1445"/>
      <c r="B10" s="1433"/>
      <c r="C10" s="1433"/>
      <c r="D10" s="1433"/>
      <c r="E10" s="1433"/>
      <c r="F10" s="1433"/>
      <c r="G10" s="1433"/>
      <c r="H10" s="1433"/>
      <c r="I10" s="1433"/>
      <c r="J10" s="1433"/>
      <c r="K10" s="1433"/>
      <c r="L10" s="1433"/>
      <c r="M10" s="1433"/>
      <c r="N10" s="1433"/>
      <c r="O10" s="1434"/>
      <c r="P10" s="1530"/>
      <c r="Q10" s="1531"/>
      <c r="R10" s="1531"/>
      <c r="S10" s="1531"/>
      <c r="T10" s="1531"/>
      <c r="U10" s="1531"/>
      <c r="V10" s="1531"/>
      <c r="W10" s="1531"/>
      <c r="X10" s="1531"/>
      <c r="Y10" s="1531"/>
      <c r="Z10" s="1531"/>
      <c r="AA10" s="1531"/>
      <c r="AB10" s="1531"/>
      <c r="AC10" s="1531"/>
      <c r="AD10" s="1531"/>
      <c r="AE10" s="1531"/>
      <c r="AF10" s="1531"/>
      <c r="AG10" s="1531"/>
      <c r="AH10" s="1531"/>
      <c r="AI10" s="1531"/>
      <c r="AJ10" s="1531"/>
      <c r="AK10" s="1531"/>
      <c r="AL10" s="1531"/>
      <c r="AM10" s="1531"/>
      <c r="AN10" s="1531"/>
      <c r="AO10" s="1531"/>
      <c r="AP10" s="1531"/>
      <c r="AQ10" s="1531"/>
      <c r="AR10" s="1531"/>
      <c r="AS10" s="1531"/>
      <c r="AT10" s="1531"/>
      <c r="AU10" s="1531"/>
      <c r="AV10" s="1531"/>
      <c r="AW10" s="1531"/>
      <c r="AX10" s="1531"/>
      <c r="AY10" s="1531"/>
      <c r="AZ10" s="1532"/>
    </row>
    <row r="11" spans="1:52" ht="15" customHeight="1">
      <c r="A11" s="1445"/>
      <c r="B11" s="1433"/>
      <c r="C11" s="1433"/>
      <c r="D11" s="1433"/>
      <c r="E11" s="1433"/>
      <c r="F11" s="1433"/>
      <c r="G11" s="1433"/>
      <c r="H11" s="1433"/>
      <c r="I11" s="1433"/>
      <c r="J11" s="1433"/>
      <c r="K11" s="1433"/>
      <c r="L11" s="1433"/>
      <c r="M11" s="1433"/>
      <c r="N11" s="1433"/>
      <c r="O11" s="1434"/>
      <c r="P11" s="1530"/>
      <c r="Q11" s="1531"/>
      <c r="R11" s="1531"/>
      <c r="S11" s="1531"/>
      <c r="T11" s="1531"/>
      <c r="U11" s="1531"/>
      <c r="V11" s="1531"/>
      <c r="W11" s="1531"/>
      <c r="X11" s="1531"/>
      <c r="Y11" s="1531"/>
      <c r="Z11" s="1531"/>
      <c r="AA11" s="1531"/>
      <c r="AB11" s="1531"/>
      <c r="AC11" s="1531"/>
      <c r="AD11" s="1531"/>
      <c r="AE11" s="1531"/>
      <c r="AF11" s="1531"/>
      <c r="AG11" s="1531"/>
      <c r="AH11" s="1531"/>
      <c r="AI11" s="1531"/>
      <c r="AJ11" s="1531"/>
      <c r="AK11" s="1531"/>
      <c r="AL11" s="1531"/>
      <c r="AM11" s="1531"/>
      <c r="AN11" s="1531"/>
      <c r="AO11" s="1531"/>
      <c r="AP11" s="1531"/>
      <c r="AQ11" s="1531"/>
      <c r="AR11" s="1531"/>
      <c r="AS11" s="1531"/>
      <c r="AT11" s="1531"/>
      <c r="AU11" s="1531"/>
      <c r="AV11" s="1531"/>
      <c r="AW11" s="1531"/>
      <c r="AX11" s="1531"/>
      <c r="AY11" s="1531"/>
      <c r="AZ11" s="1532"/>
    </row>
    <row r="12" spans="1:52" ht="15" customHeight="1" thickBot="1">
      <c r="A12" s="1445"/>
      <c r="B12" s="1433"/>
      <c r="C12" s="1433"/>
      <c r="D12" s="1433"/>
      <c r="E12" s="1433"/>
      <c r="F12" s="1433"/>
      <c r="G12" s="1433"/>
      <c r="H12" s="1433"/>
      <c r="I12" s="1433"/>
      <c r="J12" s="1433"/>
      <c r="K12" s="1433"/>
      <c r="L12" s="1433"/>
      <c r="M12" s="1433"/>
      <c r="N12" s="1433"/>
      <c r="O12" s="1434"/>
      <c r="P12" s="1533"/>
      <c r="Q12" s="1534"/>
      <c r="R12" s="1534"/>
      <c r="S12" s="1534"/>
      <c r="T12" s="1534"/>
      <c r="U12" s="1534"/>
      <c r="V12" s="1534"/>
      <c r="W12" s="1534"/>
      <c r="X12" s="1534"/>
      <c r="Y12" s="1534"/>
      <c r="Z12" s="1534"/>
      <c r="AA12" s="1534"/>
      <c r="AB12" s="1534"/>
      <c r="AC12" s="1534"/>
      <c r="AD12" s="1534"/>
      <c r="AE12" s="1534"/>
      <c r="AF12" s="1534"/>
      <c r="AG12" s="1534"/>
      <c r="AH12" s="1534"/>
      <c r="AI12" s="1534"/>
      <c r="AJ12" s="1534"/>
      <c r="AK12" s="1534"/>
      <c r="AL12" s="1534"/>
      <c r="AM12" s="1534"/>
      <c r="AN12" s="1534"/>
      <c r="AO12" s="1534"/>
      <c r="AP12" s="1534"/>
      <c r="AQ12" s="1534"/>
      <c r="AR12" s="1534"/>
      <c r="AS12" s="1534"/>
      <c r="AT12" s="1534"/>
      <c r="AU12" s="1534"/>
      <c r="AV12" s="1534"/>
      <c r="AW12" s="1534"/>
      <c r="AX12" s="1534"/>
      <c r="AY12" s="1534"/>
      <c r="AZ12" s="1535"/>
    </row>
    <row r="13" spans="1:52">
      <c r="A13" s="1517" t="str">
        <f>VLOOKUP("Blatt 2: Durchgeführte Prüfungen",Translations!$A:$T,MATCH(Cover!DR19,Translations!A2:P2,0),0)</f>
        <v>Sheet 2: Tests completed</v>
      </c>
      <c r="B13" s="1518"/>
      <c r="C13" s="1518"/>
      <c r="D13" s="1518"/>
      <c r="E13" s="1518"/>
      <c r="F13" s="1518"/>
      <c r="G13" s="1518"/>
      <c r="H13" s="1518"/>
      <c r="I13" s="1518"/>
      <c r="J13" s="1518"/>
      <c r="K13" s="1518"/>
      <c r="L13" s="1518"/>
      <c r="M13" s="1518"/>
      <c r="N13" s="1518"/>
      <c r="O13" s="1518"/>
      <c r="P13" s="1518"/>
      <c r="Q13" s="1518"/>
      <c r="R13" s="1518"/>
      <c r="S13" s="1518"/>
      <c r="T13" s="1518"/>
      <c r="U13" s="1518"/>
      <c r="V13" s="1518"/>
      <c r="W13" s="1518"/>
      <c r="X13" s="1518"/>
      <c r="Y13" s="1518"/>
      <c r="Z13" s="1518"/>
      <c r="AA13" s="1518"/>
      <c r="AB13" s="1518"/>
      <c r="AC13" s="1518"/>
      <c r="AD13" s="1518"/>
      <c r="AE13" s="1518"/>
      <c r="AF13" s="1518"/>
      <c r="AG13" s="1518"/>
      <c r="AH13" s="1518"/>
      <c r="AI13" s="1518"/>
      <c r="AJ13" s="1518"/>
      <c r="AK13" s="1518"/>
      <c r="AL13" s="1518"/>
      <c r="AM13" s="1518"/>
      <c r="AN13" s="1518"/>
      <c r="AO13" s="1518"/>
      <c r="AP13" s="1518"/>
      <c r="AQ13" s="1518"/>
      <c r="AR13" s="1518"/>
      <c r="AS13" s="1518"/>
      <c r="AT13" s="1518"/>
      <c r="AU13" s="1518"/>
      <c r="AV13" s="1518"/>
      <c r="AW13" s="1518"/>
      <c r="AX13" s="1518"/>
      <c r="AY13" s="1518"/>
      <c r="AZ13" s="1519"/>
    </row>
    <row r="14" spans="1:52" ht="13.5" thickBot="1">
      <c r="A14" s="1520"/>
      <c r="B14" s="1521"/>
      <c r="C14" s="1521"/>
      <c r="D14" s="1521"/>
      <c r="E14" s="1521"/>
      <c r="F14" s="1521"/>
      <c r="G14" s="1521"/>
      <c r="H14" s="1521"/>
      <c r="I14" s="1521"/>
      <c r="J14" s="1521"/>
      <c r="K14" s="1521"/>
      <c r="L14" s="1521"/>
      <c r="M14" s="1521"/>
      <c r="N14" s="1521"/>
      <c r="O14" s="1521"/>
      <c r="P14" s="1521"/>
      <c r="Q14" s="1521"/>
      <c r="R14" s="1521"/>
      <c r="S14" s="1521"/>
      <c r="T14" s="1521"/>
      <c r="U14" s="1521"/>
      <c r="V14" s="1521"/>
      <c r="W14" s="1521"/>
      <c r="X14" s="1521"/>
      <c r="Y14" s="1521"/>
      <c r="Z14" s="1521"/>
      <c r="AA14" s="1521"/>
      <c r="AB14" s="1521"/>
      <c r="AC14" s="1521"/>
      <c r="AD14" s="1521"/>
      <c r="AE14" s="1521"/>
      <c r="AF14" s="1521"/>
      <c r="AG14" s="1521"/>
      <c r="AH14" s="1521"/>
      <c r="AI14" s="1521"/>
      <c r="AJ14" s="1521"/>
      <c r="AK14" s="1521"/>
      <c r="AL14" s="1521"/>
      <c r="AM14" s="1521"/>
      <c r="AN14" s="1521"/>
      <c r="AO14" s="1521"/>
      <c r="AP14" s="1521"/>
      <c r="AQ14" s="1521"/>
      <c r="AR14" s="1521"/>
      <c r="AS14" s="1521"/>
      <c r="AT14" s="1521"/>
      <c r="AU14" s="1521"/>
      <c r="AV14" s="1521"/>
      <c r="AW14" s="1521"/>
      <c r="AX14" s="1521"/>
      <c r="AY14" s="1521"/>
      <c r="AZ14" s="1522"/>
    </row>
    <row r="15" spans="1:52" ht="15.75" thickBot="1">
      <c r="A15" s="637"/>
      <c r="B15" s="638"/>
      <c r="C15" s="638"/>
      <c r="D15" s="638"/>
      <c r="E15" s="638"/>
      <c r="F15" s="638"/>
      <c r="G15" s="638"/>
      <c r="H15" s="638"/>
      <c r="I15" s="638"/>
      <c r="J15" s="638"/>
      <c r="K15" s="638"/>
      <c r="L15" s="638"/>
      <c r="M15" s="638"/>
      <c r="N15" s="638"/>
      <c r="O15" s="638"/>
      <c r="P15" s="638"/>
      <c r="Q15" s="638"/>
      <c r="R15" s="638"/>
      <c r="S15" s="638"/>
      <c r="T15" s="638"/>
      <c r="U15" s="638"/>
      <c r="V15" s="638"/>
      <c r="W15" s="638"/>
      <c r="X15" s="638"/>
      <c r="Y15" s="638"/>
      <c r="Z15" s="638"/>
      <c r="AA15" s="638"/>
      <c r="AB15" s="638"/>
      <c r="AC15" s="638"/>
      <c r="AD15" s="638"/>
      <c r="AE15" s="638"/>
      <c r="AF15" s="638"/>
      <c r="AG15" s="638"/>
      <c r="AH15" s="638"/>
      <c r="AI15" s="638"/>
      <c r="AJ15" s="638"/>
      <c r="AK15" s="638"/>
      <c r="AL15" s="638"/>
      <c r="AM15" s="638"/>
      <c r="AN15" s="638"/>
      <c r="AO15" s="638"/>
      <c r="AP15" s="638"/>
      <c r="AQ15" s="638"/>
      <c r="AR15" s="638"/>
      <c r="AS15" s="638"/>
      <c r="AT15" s="638"/>
      <c r="AU15" s="638"/>
      <c r="AV15" s="638"/>
      <c r="AW15" s="638"/>
      <c r="AX15" s="638"/>
      <c r="AY15" s="638"/>
      <c r="AZ15" s="639"/>
    </row>
    <row r="16" spans="1:52">
      <c r="A16" s="1536" t="str">
        <f>VLOOKUP("Allgemeine Angaben zur Hardware und Software",Translations!$A:$T,MATCH(Cover!DR19,Translations!A2:P2,0),0)</f>
        <v>General hardware and software details</v>
      </c>
      <c r="B16" s="1537"/>
      <c r="C16" s="1537"/>
      <c r="D16" s="1537"/>
      <c r="E16" s="1537"/>
      <c r="F16" s="1537"/>
      <c r="G16" s="1537"/>
      <c r="H16" s="1537"/>
      <c r="I16" s="1537"/>
      <c r="J16" s="1537"/>
      <c r="K16" s="1537"/>
      <c r="L16" s="1537"/>
      <c r="M16" s="1537"/>
      <c r="N16" s="1537"/>
      <c r="O16" s="1537"/>
      <c r="P16" s="1537"/>
      <c r="Q16" s="1537"/>
      <c r="R16" s="1537"/>
      <c r="S16" s="1537"/>
      <c r="T16" s="1537"/>
      <c r="U16" s="1537"/>
      <c r="V16" s="1537"/>
      <c r="W16" s="1537"/>
      <c r="X16" s="1537"/>
      <c r="Y16" s="1537"/>
      <c r="Z16" s="1537"/>
      <c r="AA16" s="1537"/>
      <c r="AB16" s="1537"/>
      <c r="AC16" s="1537"/>
      <c r="AD16" s="1537"/>
      <c r="AE16" s="1537"/>
      <c r="AF16" s="1537"/>
      <c r="AG16" s="1537"/>
      <c r="AH16" s="1537"/>
      <c r="AI16" s="1537"/>
      <c r="AJ16" s="1537"/>
      <c r="AK16" s="1537"/>
      <c r="AL16" s="1537"/>
      <c r="AM16" s="1537"/>
      <c r="AN16" s="1537"/>
      <c r="AO16" s="1537"/>
      <c r="AP16" s="1537"/>
      <c r="AQ16" s="1537"/>
      <c r="AR16" s="1537"/>
      <c r="AS16" s="1537"/>
      <c r="AT16" s="1537"/>
      <c r="AU16" s="1537"/>
      <c r="AV16" s="1537"/>
      <c r="AW16" s="1537"/>
      <c r="AX16" s="1537"/>
      <c r="AY16" s="1537"/>
      <c r="AZ16" s="1538"/>
    </row>
    <row r="17" spans="1:52">
      <c r="A17" s="1539"/>
      <c r="B17" s="1540"/>
      <c r="C17" s="1540"/>
      <c r="D17" s="1540"/>
      <c r="E17" s="1540"/>
      <c r="F17" s="1540"/>
      <c r="G17" s="1540"/>
      <c r="H17" s="1540"/>
      <c r="I17" s="1540"/>
      <c r="J17" s="1540"/>
      <c r="K17" s="1540"/>
      <c r="L17" s="1540"/>
      <c r="M17" s="1540"/>
      <c r="N17" s="1540"/>
      <c r="O17" s="1540"/>
      <c r="P17" s="1540"/>
      <c r="Q17" s="1540"/>
      <c r="R17" s="1540"/>
      <c r="S17" s="1540"/>
      <c r="T17" s="1540"/>
      <c r="U17" s="1540"/>
      <c r="V17" s="1540"/>
      <c r="W17" s="1540"/>
      <c r="X17" s="1540"/>
      <c r="Y17" s="1540"/>
      <c r="Z17" s="1540"/>
      <c r="AA17" s="1540"/>
      <c r="AB17" s="1540"/>
      <c r="AC17" s="1540"/>
      <c r="AD17" s="1540"/>
      <c r="AE17" s="1540"/>
      <c r="AF17" s="1540"/>
      <c r="AG17" s="1540"/>
      <c r="AH17" s="1540"/>
      <c r="AI17" s="1540"/>
      <c r="AJ17" s="1540"/>
      <c r="AK17" s="1540"/>
      <c r="AL17" s="1540"/>
      <c r="AM17" s="1540"/>
      <c r="AN17" s="1540"/>
      <c r="AO17" s="1540"/>
      <c r="AP17" s="1540"/>
      <c r="AQ17" s="1540"/>
      <c r="AR17" s="1540"/>
      <c r="AS17" s="1540"/>
      <c r="AT17" s="1540"/>
      <c r="AU17" s="1540"/>
      <c r="AV17" s="1540"/>
      <c r="AW17" s="1540"/>
      <c r="AX17" s="1540"/>
      <c r="AY17" s="1540"/>
      <c r="AZ17" s="1541"/>
    </row>
    <row r="18" spans="1:52" ht="12.75" customHeight="1">
      <c r="A18" s="1489" t="str">
        <f>VLOOKUP("Prozessor",Translations!$A:$T,MATCH(Cover!DR19,Translations!A2:P2,0),0)</f>
        <v>Microcontroller</v>
      </c>
      <c r="B18" s="1490"/>
      <c r="C18" s="1490"/>
      <c r="D18" s="1490"/>
      <c r="E18" s="1490"/>
      <c r="F18" s="1490"/>
      <c r="G18" s="1490"/>
      <c r="H18" s="1490"/>
      <c r="I18" s="1490"/>
      <c r="J18" s="1490"/>
      <c r="K18" s="1490"/>
      <c r="L18" s="1490"/>
      <c r="M18" s="1490"/>
      <c r="N18" s="1490"/>
      <c r="O18" s="1490"/>
      <c r="P18" s="1476" t="s">
        <v>125</v>
      </c>
      <c r="Q18" s="1478"/>
      <c r="R18" s="1478"/>
      <c r="S18" s="1478"/>
      <c r="T18" s="1478"/>
      <c r="U18" s="1478"/>
      <c r="V18" s="1478"/>
      <c r="W18" s="1478"/>
      <c r="X18" s="1478"/>
      <c r="Y18" s="1478"/>
      <c r="Z18" s="1478"/>
      <c r="AA18" s="1478"/>
      <c r="AB18" s="1476" t="s">
        <v>126</v>
      </c>
      <c r="AC18" s="1478"/>
      <c r="AD18" s="1478"/>
      <c r="AE18" s="1478"/>
      <c r="AF18" s="1478"/>
      <c r="AG18" s="1478"/>
      <c r="AH18" s="1478"/>
      <c r="AI18" s="1478"/>
      <c r="AJ18" s="1478"/>
      <c r="AK18" s="1478"/>
      <c r="AL18" s="1478"/>
      <c r="AM18" s="1478"/>
      <c r="AN18" s="1476" t="s">
        <v>127</v>
      </c>
      <c r="AO18" s="1480"/>
      <c r="AP18" s="1481"/>
      <c r="AQ18" s="1481"/>
      <c r="AR18" s="1481"/>
      <c r="AS18" s="1481"/>
      <c r="AT18" s="1481"/>
      <c r="AU18" s="1481"/>
      <c r="AV18" s="1481"/>
      <c r="AW18" s="1481"/>
      <c r="AX18" s="1481"/>
      <c r="AY18" s="1481"/>
      <c r="AZ18" s="1482"/>
    </row>
    <row r="19" spans="1:52" ht="12.75" customHeight="1">
      <c r="A19" s="1489"/>
      <c r="B19" s="1490"/>
      <c r="C19" s="1490"/>
      <c r="D19" s="1490"/>
      <c r="E19" s="1490"/>
      <c r="F19" s="1490"/>
      <c r="G19" s="1490"/>
      <c r="H19" s="1490"/>
      <c r="I19" s="1490"/>
      <c r="J19" s="1490"/>
      <c r="K19" s="1490"/>
      <c r="L19" s="1490"/>
      <c r="M19" s="1490"/>
      <c r="N19" s="1490"/>
      <c r="O19" s="1490"/>
      <c r="P19" s="1476"/>
      <c r="Q19" s="1478"/>
      <c r="R19" s="1478"/>
      <c r="S19" s="1478"/>
      <c r="T19" s="1478"/>
      <c r="U19" s="1478"/>
      <c r="V19" s="1478"/>
      <c r="W19" s="1478"/>
      <c r="X19" s="1478"/>
      <c r="Y19" s="1478"/>
      <c r="Z19" s="1478"/>
      <c r="AA19" s="1478"/>
      <c r="AB19" s="1476"/>
      <c r="AC19" s="1478"/>
      <c r="AD19" s="1478"/>
      <c r="AE19" s="1478"/>
      <c r="AF19" s="1478"/>
      <c r="AG19" s="1478"/>
      <c r="AH19" s="1478"/>
      <c r="AI19" s="1478"/>
      <c r="AJ19" s="1478"/>
      <c r="AK19" s="1478"/>
      <c r="AL19" s="1478"/>
      <c r="AM19" s="1478"/>
      <c r="AN19" s="1476"/>
      <c r="AO19" s="1483"/>
      <c r="AP19" s="1484"/>
      <c r="AQ19" s="1484"/>
      <c r="AR19" s="1484"/>
      <c r="AS19" s="1484"/>
      <c r="AT19" s="1484"/>
      <c r="AU19" s="1484"/>
      <c r="AV19" s="1484"/>
      <c r="AW19" s="1484"/>
      <c r="AX19" s="1484"/>
      <c r="AY19" s="1484"/>
      <c r="AZ19" s="1485"/>
    </row>
    <row r="20" spans="1:52" ht="13.5" customHeight="1">
      <c r="A20" s="1489"/>
      <c r="B20" s="1490"/>
      <c r="C20" s="1490"/>
      <c r="D20" s="1490"/>
      <c r="E20" s="1490"/>
      <c r="F20" s="1490"/>
      <c r="G20" s="1490"/>
      <c r="H20" s="1490"/>
      <c r="I20" s="1490"/>
      <c r="J20" s="1490"/>
      <c r="K20" s="1490"/>
      <c r="L20" s="1490"/>
      <c r="M20" s="1490"/>
      <c r="N20" s="1490"/>
      <c r="O20" s="1490"/>
      <c r="P20" s="1476"/>
      <c r="Q20" s="1478"/>
      <c r="R20" s="1478"/>
      <c r="S20" s="1478"/>
      <c r="T20" s="1478"/>
      <c r="U20" s="1478"/>
      <c r="V20" s="1478"/>
      <c r="W20" s="1478"/>
      <c r="X20" s="1478"/>
      <c r="Y20" s="1478"/>
      <c r="Z20" s="1478"/>
      <c r="AA20" s="1478"/>
      <c r="AB20" s="1476"/>
      <c r="AC20" s="1478"/>
      <c r="AD20" s="1478"/>
      <c r="AE20" s="1478"/>
      <c r="AF20" s="1478"/>
      <c r="AG20" s="1478"/>
      <c r="AH20" s="1478"/>
      <c r="AI20" s="1478"/>
      <c r="AJ20" s="1478"/>
      <c r="AK20" s="1478"/>
      <c r="AL20" s="1478"/>
      <c r="AM20" s="1478"/>
      <c r="AN20" s="1476"/>
      <c r="AO20" s="1486"/>
      <c r="AP20" s="1487"/>
      <c r="AQ20" s="1487"/>
      <c r="AR20" s="1487"/>
      <c r="AS20" s="1487"/>
      <c r="AT20" s="1487"/>
      <c r="AU20" s="1487"/>
      <c r="AV20" s="1487"/>
      <c r="AW20" s="1487"/>
      <c r="AX20" s="1487"/>
      <c r="AY20" s="1487"/>
      <c r="AZ20" s="1488"/>
    </row>
    <row r="21" spans="1:52" ht="12.75" customHeight="1">
      <c r="A21" s="1489" t="str">
        <f>VLOOKUP("Prozessorfrequenz",Translations!$A:$T,MATCH(Cover!DR19,Translations!A2:P2,0),0)</f>
        <v>Microcontroller frequency</v>
      </c>
      <c r="B21" s="1490"/>
      <c r="C21" s="1490"/>
      <c r="D21" s="1490"/>
      <c r="E21" s="1490"/>
      <c r="F21" s="1490"/>
      <c r="G21" s="1490"/>
      <c r="H21" s="1490"/>
      <c r="I21" s="1490"/>
      <c r="J21" s="1490"/>
      <c r="K21" s="1490"/>
      <c r="L21" s="1490"/>
      <c r="M21" s="1490"/>
      <c r="N21" s="1490"/>
      <c r="O21" s="1490"/>
      <c r="P21" s="1476" t="s">
        <v>125</v>
      </c>
      <c r="Q21" s="1479"/>
      <c r="R21" s="1479"/>
      <c r="S21" s="1479"/>
      <c r="T21" s="1479"/>
      <c r="U21" s="1479"/>
      <c r="V21" s="1479"/>
      <c r="W21" s="1479"/>
      <c r="X21" s="1479"/>
      <c r="Y21" s="1479"/>
      <c r="Z21" s="1479"/>
      <c r="AA21" s="1479"/>
      <c r="AB21" s="1476" t="s">
        <v>126</v>
      </c>
      <c r="AC21" s="1478"/>
      <c r="AD21" s="1478"/>
      <c r="AE21" s="1478"/>
      <c r="AF21" s="1478"/>
      <c r="AG21" s="1478"/>
      <c r="AH21" s="1478"/>
      <c r="AI21" s="1478"/>
      <c r="AJ21" s="1478"/>
      <c r="AK21" s="1478"/>
      <c r="AL21" s="1478"/>
      <c r="AM21" s="1478"/>
      <c r="AN21" s="1476" t="s">
        <v>127</v>
      </c>
      <c r="AO21" s="1480"/>
      <c r="AP21" s="1481"/>
      <c r="AQ21" s="1481"/>
      <c r="AR21" s="1481"/>
      <c r="AS21" s="1481"/>
      <c r="AT21" s="1481"/>
      <c r="AU21" s="1481"/>
      <c r="AV21" s="1481"/>
      <c r="AW21" s="1481"/>
      <c r="AX21" s="1481"/>
      <c r="AY21" s="1481"/>
      <c r="AZ21" s="1482"/>
    </row>
    <row r="22" spans="1:52" ht="12.75" customHeight="1">
      <c r="A22" s="1489"/>
      <c r="B22" s="1490"/>
      <c r="C22" s="1490"/>
      <c r="D22" s="1490"/>
      <c r="E22" s="1490"/>
      <c r="F22" s="1490"/>
      <c r="G22" s="1490"/>
      <c r="H22" s="1490"/>
      <c r="I22" s="1490"/>
      <c r="J22" s="1490"/>
      <c r="K22" s="1490"/>
      <c r="L22" s="1490"/>
      <c r="M22" s="1490"/>
      <c r="N22" s="1490"/>
      <c r="O22" s="1490"/>
      <c r="P22" s="1476"/>
      <c r="Q22" s="1479"/>
      <c r="R22" s="1479"/>
      <c r="S22" s="1479"/>
      <c r="T22" s="1479"/>
      <c r="U22" s="1479"/>
      <c r="V22" s="1479"/>
      <c r="W22" s="1479"/>
      <c r="X22" s="1479"/>
      <c r="Y22" s="1479"/>
      <c r="Z22" s="1479"/>
      <c r="AA22" s="1479"/>
      <c r="AB22" s="1476"/>
      <c r="AC22" s="1478"/>
      <c r="AD22" s="1478"/>
      <c r="AE22" s="1478"/>
      <c r="AF22" s="1478"/>
      <c r="AG22" s="1478"/>
      <c r="AH22" s="1478"/>
      <c r="AI22" s="1478"/>
      <c r="AJ22" s="1478"/>
      <c r="AK22" s="1478"/>
      <c r="AL22" s="1478"/>
      <c r="AM22" s="1478"/>
      <c r="AN22" s="1476"/>
      <c r="AO22" s="1483"/>
      <c r="AP22" s="1484"/>
      <c r="AQ22" s="1484"/>
      <c r="AR22" s="1484"/>
      <c r="AS22" s="1484"/>
      <c r="AT22" s="1484"/>
      <c r="AU22" s="1484"/>
      <c r="AV22" s="1484"/>
      <c r="AW22" s="1484"/>
      <c r="AX22" s="1484"/>
      <c r="AY22" s="1484"/>
      <c r="AZ22" s="1485"/>
    </row>
    <row r="23" spans="1:52" ht="13.5" customHeight="1">
      <c r="A23" s="1489"/>
      <c r="B23" s="1490"/>
      <c r="C23" s="1490"/>
      <c r="D23" s="1490"/>
      <c r="E23" s="1490"/>
      <c r="F23" s="1490"/>
      <c r="G23" s="1490"/>
      <c r="H23" s="1490"/>
      <c r="I23" s="1490"/>
      <c r="J23" s="1490"/>
      <c r="K23" s="1490"/>
      <c r="L23" s="1490"/>
      <c r="M23" s="1490"/>
      <c r="N23" s="1490"/>
      <c r="O23" s="1490"/>
      <c r="P23" s="1476"/>
      <c r="Q23" s="1479"/>
      <c r="R23" s="1479"/>
      <c r="S23" s="1479"/>
      <c r="T23" s="1479"/>
      <c r="U23" s="1479"/>
      <c r="V23" s="1479"/>
      <c r="W23" s="1479"/>
      <c r="X23" s="1479"/>
      <c r="Y23" s="1479"/>
      <c r="Z23" s="1479"/>
      <c r="AA23" s="1479"/>
      <c r="AB23" s="1476"/>
      <c r="AC23" s="1478"/>
      <c r="AD23" s="1478"/>
      <c r="AE23" s="1478"/>
      <c r="AF23" s="1478"/>
      <c r="AG23" s="1478"/>
      <c r="AH23" s="1478"/>
      <c r="AI23" s="1478"/>
      <c r="AJ23" s="1478"/>
      <c r="AK23" s="1478"/>
      <c r="AL23" s="1478"/>
      <c r="AM23" s="1478"/>
      <c r="AN23" s="1476"/>
      <c r="AO23" s="1486"/>
      <c r="AP23" s="1487"/>
      <c r="AQ23" s="1487"/>
      <c r="AR23" s="1487"/>
      <c r="AS23" s="1487"/>
      <c r="AT23" s="1487"/>
      <c r="AU23" s="1487"/>
      <c r="AV23" s="1487"/>
      <c r="AW23" s="1487"/>
      <c r="AX23" s="1487"/>
      <c r="AY23" s="1487"/>
      <c r="AZ23" s="1488"/>
    </row>
    <row r="24" spans="1:52" ht="12.75" customHeight="1">
      <c r="A24" s="1489" t="str">
        <f>VLOOKUP("Quarzfrequenz",Translations!$A:$T,MATCH(Cover!DR19,Translations!A2:P2,0),0)</f>
        <v>Quartz frequency</v>
      </c>
      <c r="B24" s="1490"/>
      <c r="C24" s="1490"/>
      <c r="D24" s="1490"/>
      <c r="E24" s="1490"/>
      <c r="F24" s="1490"/>
      <c r="G24" s="1490"/>
      <c r="H24" s="1490"/>
      <c r="I24" s="1490"/>
      <c r="J24" s="1490"/>
      <c r="K24" s="1490"/>
      <c r="L24" s="1490"/>
      <c r="M24" s="1490"/>
      <c r="N24" s="1490"/>
      <c r="O24" s="1490"/>
      <c r="P24" s="1476" t="s">
        <v>125</v>
      </c>
      <c r="Q24" s="1479"/>
      <c r="R24" s="1479"/>
      <c r="S24" s="1479"/>
      <c r="T24" s="1479"/>
      <c r="U24" s="1479"/>
      <c r="V24" s="1479"/>
      <c r="W24" s="1479"/>
      <c r="X24" s="1479"/>
      <c r="Y24" s="1479"/>
      <c r="Z24" s="1479"/>
      <c r="AA24" s="1479"/>
      <c r="AB24" s="1476" t="s">
        <v>126</v>
      </c>
      <c r="AC24" s="1478"/>
      <c r="AD24" s="1478"/>
      <c r="AE24" s="1478"/>
      <c r="AF24" s="1478"/>
      <c r="AG24" s="1478"/>
      <c r="AH24" s="1478"/>
      <c r="AI24" s="1478"/>
      <c r="AJ24" s="1478"/>
      <c r="AK24" s="1478"/>
      <c r="AL24" s="1478"/>
      <c r="AM24" s="1478"/>
      <c r="AN24" s="1476" t="s">
        <v>127</v>
      </c>
      <c r="AO24" s="1480"/>
      <c r="AP24" s="1481"/>
      <c r="AQ24" s="1481"/>
      <c r="AR24" s="1481"/>
      <c r="AS24" s="1481"/>
      <c r="AT24" s="1481"/>
      <c r="AU24" s="1481"/>
      <c r="AV24" s="1481"/>
      <c r="AW24" s="1481"/>
      <c r="AX24" s="1481"/>
      <c r="AY24" s="1481"/>
      <c r="AZ24" s="1482"/>
    </row>
    <row r="25" spans="1:52" ht="12.75" customHeight="1">
      <c r="A25" s="1489"/>
      <c r="B25" s="1490"/>
      <c r="C25" s="1490"/>
      <c r="D25" s="1490"/>
      <c r="E25" s="1490"/>
      <c r="F25" s="1490"/>
      <c r="G25" s="1490"/>
      <c r="H25" s="1490"/>
      <c r="I25" s="1490"/>
      <c r="J25" s="1490"/>
      <c r="K25" s="1490"/>
      <c r="L25" s="1490"/>
      <c r="M25" s="1490"/>
      <c r="N25" s="1490"/>
      <c r="O25" s="1490"/>
      <c r="P25" s="1476"/>
      <c r="Q25" s="1479"/>
      <c r="R25" s="1479"/>
      <c r="S25" s="1479"/>
      <c r="T25" s="1479"/>
      <c r="U25" s="1479"/>
      <c r="V25" s="1479"/>
      <c r="W25" s="1479"/>
      <c r="X25" s="1479"/>
      <c r="Y25" s="1479"/>
      <c r="Z25" s="1479"/>
      <c r="AA25" s="1479"/>
      <c r="AB25" s="1476"/>
      <c r="AC25" s="1478"/>
      <c r="AD25" s="1478"/>
      <c r="AE25" s="1478"/>
      <c r="AF25" s="1478"/>
      <c r="AG25" s="1478"/>
      <c r="AH25" s="1478"/>
      <c r="AI25" s="1478"/>
      <c r="AJ25" s="1478"/>
      <c r="AK25" s="1478"/>
      <c r="AL25" s="1478"/>
      <c r="AM25" s="1478"/>
      <c r="AN25" s="1476"/>
      <c r="AO25" s="1483"/>
      <c r="AP25" s="1484"/>
      <c r="AQ25" s="1484"/>
      <c r="AR25" s="1484"/>
      <c r="AS25" s="1484"/>
      <c r="AT25" s="1484"/>
      <c r="AU25" s="1484"/>
      <c r="AV25" s="1484"/>
      <c r="AW25" s="1484"/>
      <c r="AX25" s="1484"/>
      <c r="AY25" s="1484"/>
      <c r="AZ25" s="1485"/>
    </row>
    <row r="26" spans="1:52" ht="13.5" customHeight="1">
      <c r="A26" s="1489"/>
      <c r="B26" s="1490"/>
      <c r="C26" s="1490"/>
      <c r="D26" s="1490"/>
      <c r="E26" s="1490"/>
      <c r="F26" s="1490"/>
      <c r="G26" s="1490"/>
      <c r="H26" s="1490"/>
      <c r="I26" s="1490"/>
      <c r="J26" s="1490"/>
      <c r="K26" s="1490"/>
      <c r="L26" s="1490"/>
      <c r="M26" s="1490"/>
      <c r="N26" s="1490"/>
      <c r="O26" s="1490"/>
      <c r="P26" s="1476"/>
      <c r="Q26" s="1479"/>
      <c r="R26" s="1479"/>
      <c r="S26" s="1479"/>
      <c r="T26" s="1479"/>
      <c r="U26" s="1479"/>
      <c r="V26" s="1479"/>
      <c r="W26" s="1479"/>
      <c r="X26" s="1479"/>
      <c r="Y26" s="1479"/>
      <c r="Z26" s="1479"/>
      <c r="AA26" s="1479"/>
      <c r="AB26" s="1476"/>
      <c r="AC26" s="1478"/>
      <c r="AD26" s="1478"/>
      <c r="AE26" s="1478"/>
      <c r="AF26" s="1478"/>
      <c r="AG26" s="1478"/>
      <c r="AH26" s="1478"/>
      <c r="AI26" s="1478"/>
      <c r="AJ26" s="1478"/>
      <c r="AK26" s="1478"/>
      <c r="AL26" s="1478"/>
      <c r="AM26" s="1478"/>
      <c r="AN26" s="1476"/>
      <c r="AO26" s="1486"/>
      <c r="AP26" s="1487"/>
      <c r="AQ26" s="1487"/>
      <c r="AR26" s="1487"/>
      <c r="AS26" s="1487"/>
      <c r="AT26" s="1487"/>
      <c r="AU26" s="1487"/>
      <c r="AV26" s="1487"/>
      <c r="AW26" s="1487"/>
      <c r="AX26" s="1487"/>
      <c r="AY26" s="1487"/>
      <c r="AZ26" s="1488"/>
    </row>
    <row r="27" spans="1:52" ht="12.75" customHeight="1">
      <c r="A27" s="1489" t="str">
        <f>VLOOKUP("Betriebssystem",Translations!$A:$T,MATCH(Cover!DR19,Translations!A2:P2,0),0)</f>
        <v>Operating system</v>
      </c>
      <c r="B27" s="1490"/>
      <c r="C27" s="1490"/>
      <c r="D27" s="1490"/>
      <c r="E27" s="1490"/>
      <c r="F27" s="1490"/>
      <c r="G27" s="1490"/>
      <c r="H27" s="1490"/>
      <c r="I27" s="1490"/>
      <c r="J27" s="1490"/>
      <c r="K27" s="1490"/>
      <c r="L27" s="1490"/>
      <c r="M27" s="1490"/>
      <c r="N27" s="1490"/>
      <c r="O27" s="1490"/>
      <c r="P27" s="1542"/>
      <c r="Q27" s="1543"/>
      <c r="R27" s="1543"/>
      <c r="S27" s="1543"/>
      <c r="T27" s="1543"/>
      <c r="U27" s="1543"/>
      <c r="V27" s="1543"/>
      <c r="W27" s="1543"/>
      <c r="X27" s="1543"/>
      <c r="Y27" s="1543"/>
      <c r="Z27" s="1543"/>
      <c r="AA27" s="1543"/>
      <c r="AB27" s="1543"/>
      <c r="AC27" s="1543"/>
      <c r="AD27" s="1543"/>
      <c r="AE27" s="1543"/>
      <c r="AF27" s="1543"/>
      <c r="AG27" s="1543"/>
      <c r="AH27" s="1543"/>
      <c r="AI27" s="1543"/>
      <c r="AJ27" s="1543"/>
      <c r="AK27" s="1543"/>
      <c r="AL27" s="1543"/>
      <c r="AM27" s="1543"/>
      <c r="AN27" s="1543"/>
      <c r="AO27" s="1543"/>
      <c r="AP27" s="1543"/>
      <c r="AQ27" s="1543"/>
      <c r="AR27" s="1543"/>
      <c r="AS27" s="1543"/>
      <c r="AT27" s="1543"/>
      <c r="AU27" s="1543"/>
      <c r="AV27" s="1543"/>
      <c r="AW27" s="1543"/>
      <c r="AX27" s="1543"/>
      <c r="AY27" s="1543"/>
      <c r="AZ27" s="1544"/>
    </row>
    <row r="28" spans="1:52" ht="12.75" customHeight="1">
      <c r="A28" s="1489"/>
      <c r="B28" s="1490"/>
      <c r="C28" s="1490"/>
      <c r="D28" s="1490"/>
      <c r="E28" s="1490"/>
      <c r="F28" s="1490"/>
      <c r="G28" s="1490"/>
      <c r="H28" s="1490"/>
      <c r="I28" s="1490"/>
      <c r="J28" s="1490"/>
      <c r="K28" s="1490"/>
      <c r="L28" s="1490"/>
      <c r="M28" s="1490"/>
      <c r="N28" s="1490"/>
      <c r="O28" s="1490"/>
      <c r="P28" s="1545"/>
      <c r="Q28" s="974"/>
      <c r="R28" s="974"/>
      <c r="S28" s="974"/>
      <c r="T28" s="974"/>
      <c r="U28" s="974"/>
      <c r="V28" s="974"/>
      <c r="W28" s="974"/>
      <c r="X28" s="974"/>
      <c r="Y28" s="974"/>
      <c r="Z28" s="974"/>
      <c r="AA28" s="974"/>
      <c r="AB28" s="974"/>
      <c r="AC28" s="974"/>
      <c r="AD28" s="974"/>
      <c r="AE28" s="974"/>
      <c r="AF28" s="974"/>
      <c r="AG28" s="974"/>
      <c r="AH28" s="974"/>
      <c r="AI28" s="974"/>
      <c r="AJ28" s="974"/>
      <c r="AK28" s="974"/>
      <c r="AL28" s="974"/>
      <c r="AM28" s="974"/>
      <c r="AN28" s="974"/>
      <c r="AO28" s="974"/>
      <c r="AP28" s="974"/>
      <c r="AQ28" s="974"/>
      <c r="AR28" s="974"/>
      <c r="AS28" s="974"/>
      <c r="AT28" s="974"/>
      <c r="AU28" s="974"/>
      <c r="AV28" s="974"/>
      <c r="AW28" s="974"/>
      <c r="AX28" s="974"/>
      <c r="AY28" s="974"/>
      <c r="AZ28" s="975"/>
    </row>
    <row r="29" spans="1:52" ht="13.5" customHeight="1" thickBot="1">
      <c r="A29" s="1491"/>
      <c r="B29" s="1492"/>
      <c r="C29" s="1492"/>
      <c r="D29" s="1492"/>
      <c r="E29" s="1492"/>
      <c r="F29" s="1492"/>
      <c r="G29" s="1492"/>
      <c r="H29" s="1492"/>
      <c r="I29" s="1492"/>
      <c r="J29" s="1492"/>
      <c r="K29" s="1492"/>
      <c r="L29" s="1492"/>
      <c r="M29" s="1492"/>
      <c r="N29" s="1492"/>
      <c r="O29" s="1492"/>
      <c r="P29" s="1546"/>
      <c r="Q29" s="983"/>
      <c r="R29" s="983"/>
      <c r="S29" s="983"/>
      <c r="T29" s="983"/>
      <c r="U29" s="983"/>
      <c r="V29" s="983"/>
      <c r="W29" s="983"/>
      <c r="X29" s="983"/>
      <c r="Y29" s="983"/>
      <c r="Z29" s="983"/>
      <c r="AA29" s="983"/>
      <c r="AB29" s="983"/>
      <c r="AC29" s="983"/>
      <c r="AD29" s="983"/>
      <c r="AE29" s="983"/>
      <c r="AF29" s="983"/>
      <c r="AG29" s="983"/>
      <c r="AH29" s="983"/>
      <c r="AI29" s="983"/>
      <c r="AJ29" s="983"/>
      <c r="AK29" s="983"/>
      <c r="AL29" s="983"/>
      <c r="AM29" s="983"/>
      <c r="AN29" s="983"/>
      <c r="AO29" s="983"/>
      <c r="AP29" s="983"/>
      <c r="AQ29" s="983"/>
      <c r="AR29" s="983"/>
      <c r="AS29" s="983"/>
      <c r="AT29" s="983"/>
      <c r="AU29" s="983"/>
      <c r="AV29" s="983"/>
      <c r="AW29" s="983"/>
      <c r="AX29" s="983"/>
      <c r="AY29" s="983"/>
      <c r="AZ29" s="984"/>
    </row>
    <row r="30" spans="1:52" ht="15">
      <c r="A30" s="637"/>
      <c r="B30" s="638"/>
      <c r="C30" s="638"/>
      <c r="D30" s="638"/>
      <c r="E30" s="638"/>
      <c r="F30" s="638"/>
      <c r="G30" s="638"/>
      <c r="H30" s="638"/>
      <c r="I30" s="638"/>
      <c r="J30" s="638"/>
      <c r="K30" s="638"/>
      <c r="L30" s="638"/>
      <c r="M30" s="638"/>
      <c r="N30" s="638"/>
      <c r="O30" s="638"/>
      <c r="P30" s="638"/>
      <c r="Q30" s="638"/>
      <c r="R30" s="638"/>
      <c r="S30" s="638"/>
      <c r="T30" s="638"/>
      <c r="U30" s="638"/>
      <c r="V30" s="638"/>
      <c r="W30" s="638"/>
      <c r="X30" s="638"/>
      <c r="Y30" s="638"/>
      <c r="Z30" s="638"/>
      <c r="AA30" s="638"/>
      <c r="AB30" s="638"/>
      <c r="AC30" s="638"/>
      <c r="AD30" s="638"/>
      <c r="AE30" s="638"/>
      <c r="AF30" s="638"/>
      <c r="AG30" s="638"/>
      <c r="AH30" s="638"/>
      <c r="AI30" s="638"/>
      <c r="AJ30" s="638"/>
      <c r="AK30" s="638"/>
      <c r="AL30" s="638"/>
      <c r="AM30" s="638"/>
      <c r="AN30" s="638"/>
      <c r="AO30" s="638"/>
      <c r="AP30" s="638"/>
      <c r="AQ30" s="638"/>
      <c r="AR30" s="638"/>
      <c r="AS30" s="638"/>
      <c r="AT30" s="638"/>
      <c r="AU30" s="638"/>
      <c r="AV30" s="638"/>
      <c r="AW30" s="638"/>
      <c r="AX30" s="638"/>
      <c r="AY30" s="638"/>
      <c r="AZ30" s="639"/>
    </row>
    <row r="31" spans="1:52">
      <c r="A31" s="1496" t="str">
        <f>VLOOKUP("Speicherauslastung",Translations!$A:$T,MATCH(Cover!DR19,Translations!A2:P2,0),0)</f>
        <v>Memory capacity utilization</v>
      </c>
      <c r="B31" s="1497"/>
      <c r="C31" s="1497"/>
      <c r="D31" s="1497"/>
      <c r="E31" s="1497"/>
      <c r="F31" s="1497"/>
      <c r="G31" s="1497"/>
      <c r="H31" s="1497"/>
      <c r="I31" s="1497"/>
      <c r="J31" s="1497"/>
      <c r="K31" s="1497"/>
      <c r="L31" s="1497"/>
      <c r="M31" s="1497"/>
      <c r="N31" s="1497"/>
      <c r="O31" s="1497"/>
      <c r="P31" s="1497"/>
      <c r="Q31" s="1497"/>
      <c r="R31" s="1497"/>
      <c r="S31" s="1497"/>
      <c r="T31" s="1497"/>
      <c r="U31" s="1497"/>
      <c r="V31" s="1497"/>
      <c r="W31" s="1497"/>
      <c r="X31" s="1497"/>
      <c r="Y31" s="1497"/>
      <c r="Z31" s="1497"/>
      <c r="AA31" s="1497"/>
      <c r="AB31" s="1497"/>
      <c r="AC31" s="1497"/>
      <c r="AD31" s="1497"/>
      <c r="AE31" s="1497"/>
      <c r="AF31" s="1497"/>
      <c r="AG31" s="1497"/>
      <c r="AH31" s="1497"/>
      <c r="AI31" s="1497"/>
      <c r="AJ31" s="1497"/>
      <c r="AK31" s="1497"/>
      <c r="AL31" s="1497"/>
      <c r="AM31" s="1497"/>
      <c r="AN31" s="1497"/>
      <c r="AO31" s="1497"/>
      <c r="AP31" s="1497"/>
      <c r="AQ31" s="1497"/>
      <c r="AR31" s="1497"/>
      <c r="AS31" s="1497"/>
      <c r="AT31" s="1497"/>
      <c r="AU31" s="1497"/>
      <c r="AV31" s="1497"/>
      <c r="AW31" s="1497"/>
      <c r="AX31" s="1497"/>
      <c r="AY31" s="1497"/>
      <c r="AZ31" s="1498"/>
    </row>
    <row r="32" spans="1:52">
      <c r="A32" s="1496"/>
      <c r="B32" s="1497"/>
      <c r="C32" s="1497"/>
      <c r="D32" s="1497"/>
      <c r="E32" s="1497"/>
      <c r="F32" s="1497"/>
      <c r="G32" s="1497"/>
      <c r="H32" s="1497"/>
      <c r="I32" s="1497"/>
      <c r="J32" s="1497"/>
      <c r="K32" s="1497"/>
      <c r="L32" s="1497"/>
      <c r="M32" s="1497"/>
      <c r="N32" s="1497"/>
      <c r="O32" s="1497"/>
      <c r="P32" s="1497"/>
      <c r="Q32" s="1497"/>
      <c r="R32" s="1497"/>
      <c r="S32" s="1497"/>
      <c r="T32" s="1497"/>
      <c r="U32" s="1497"/>
      <c r="V32" s="1497"/>
      <c r="W32" s="1497"/>
      <c r="X32" s="1497"/>
      <c r="Y32" s="1497"/>
      <c r="Z32" s="1497"/>
      <c r="AA32" s="1497"/>
      <c r="AB32" s="1497"/>
      <c r="AC32" s="1497"/>
      <c r="AD32" s="1497"/>
      <c r="AE32" s="1497"/>
      <c r="AF32" s="1497"/>
      <c r="AG32" s="1497"/>
      <c r="AH32" s="1497"/>
      <c r="AI32" s="1497"/>
      <c r="AJ32" s="1497"/>
      <c r="AK32" s="1497"/>
      <c r="AL32" s="1497"/>
      <c r="AM32" s="1497"/>
      <c r="AN32" s="1497"/>
      <c r="AO32" s="1497"/>
      <c r="AP32" s="1497"/>
      <c r="AQ32" s="1497"/>
      <c r="AR32" s="1497"/>
      <c r="AS32" s="1497"/>
      <c r="AT32" s="1497"/>
      <c r="AU32" s="1497"/>
      <c r="AV32" s="1497"/>
      <c r="AW32" s="1497"/>
      <c r="AX32" s="1497"/>
      <c r="AY32" s="1497"/>
      <c r="AZ32" s="1498"/>
    </row>
    <row r="33" spans="1:52" ht="12.75" customHeight="1">
      <c r="A33" s="1489" t="str">
        <f>VLOOKUP("Komponente",Translations!$A:$T,MATCH(Cover!DR19,Translations!A2:P2,0),0)</f>
        <v>Component</v>
      </c>
      <c r="B33" s="1490"/>
      <c r="C33" s="1490"/>
      <c r="D33" s="1490"/>
      <c r="E33" s="1490"/>
      <c r="F33" s="1490"/>
      <c r="G33" s="1490"/>
      <c r="H33" s="1490"/>
      <c r="I33" s="1490"/>
      <c r="J33" s="1490"/>
      <c r="K33" s="1490"/>
      <c r="L33" s="1490"/>
      <c r="M33" s="1490"/>
      <c r="N33" s="1490"/>
      <c r="O33" s="1490"/>
      <c r="P33" s="1490" t="str">
        <f>VLOOKUP("Belegt",Translations!$A:$T,MATCH(Cover!DR19,Translations!A2:P2,0),0)</f>
        <v>Used</v>
      </c>
      <c r="Q33" s="1490"/>
      <c r="R33" s="1490"/>
      <c r="S33" s="1490"/>
      <c r="T33" s="1490"/>
      <c r="U33" s="1490"/>
      <c r="V33" s="1490" t="str">
        <f>VLOOKUP("Verfügbar",Translations!$A:$T,MATCH(Cover!DR19,Translations!A2:P2,0),0)</f>
        <v>Available</v>
      </c>
      <c r="W33" s="1490"/>
      <c r="X33" s="1490"/>
      <c r="Y33" s="1490"/>
      <c r="Z33" s="1490"/>
      <c r="AA33" s="1490"/>
      <c r="AB33" s="1490" t="str">
        <f>VLOOKUP("Belegt [%]",Translations!$A:$T,MATCH(Cover!DR19,Translations!A2:P2,0),0)</f>
        <v>Used [%]</v>
      </c>
      <c r="AC33" s="1490"/>
      <c r="AD33" s="1490"/>
      <c r="AE33" s="1490"/>
      <c r="AF33" s="1490"/>
      <c r="AG33" s="1490"/>
      <c r="AH33" s="1490" t="str">
        <f>VLOOKUP("Spezifiziert",Translations!$A:$T,MATCH(Cover!DR19,Translations!A2:P2,0),0)</f>
        <v>Specified</v>
      </c>
      <c r="AI33" s="1490"/>
      <c r="AJ33" s="1490"/>
      <c r="AK33" s="1490"/>
      <c r="AL33" s="1490"/>
      <c r="AM33" s="1490"/>
      <c r="AN33" s="1490"/>
      <c r="AO33" s="1490"/>
      <c r="AP33" s="1490"/>
      <c r="AQ33" s="1490"/>
      <c r="AR33" s="1490"/>
      <c r="AS33" s="1490"/>
      <c r="AT33" s="1490"/>
      <c r="AU33" s="1490" t="str">
        <f>VLOOKUP("Status",Translations!$A:$T,MATCH(Cover!DR19,Translations!A2:P2,0),0)</f>
        <v>Status</v>
      </c>
      <c r="AV33" s="1490"/>
      <c r="AW33" s="1490"/>
      <c r="AX33" s="1490"/>
      <c r="AY33" s="1490"/>
      <c r="AZ33" s="1547"/>
    </row>
    <row r="34" spans="1:52" ht="12.75" customHeight="1">
      <c r="A34" s="1489"/>
      <c r="B34" s="1490"/>
      <c r="C34" s="1490"/>
      <c r="D34" s="1490"/>
      <c r="E34" s="1490"/>
      <c r="F34" s="1490"/>
      <c r="G34" s="1490"/>
      <c r="H34" s="1490"/>
      <c r="I34" s="1490"/>
      <c r="J34" s="1490"/>
      <c r="K34" s="1490"/>
      <c r="L34" s="1490"/>
      <c r="M34" s="1490"/>
      <c r="N34" s="1490"/>
      <c r="O34" s="1490"/>
      <c r="P34" s="1490"/>
      <c r="Q34" s="1490"/>
      <c r="R34" s="1490"/>
      <c r="S34" s="1490"/>
      <c r="T34" s="1490"/>
      <c r="U34" s="1490"/>
      <c r="V34" s="1490"/>
      <c r="W34" s="1490"/>
      <c r="X34" s="1490"/>
      <c r="Y34" s="1490"/>
      <c r="Z34" s="1490"/>
      <c r="AA34" s="1490"/>
      <c r="AB34" s="1490"/>
      <c r="AC34" s="1490"/>
      <c r="AD34" s="1490"/>
      <c r="AE34" s="1490"/>
      <c r="AF34" s="1490"/>
      <c r="AG34" s="1490"/>
      <c r="AH34" s="1490"/>
      <c r="AI34" s="1490"/>
      <c r="AJ34" s="1490"/>
      <c r="AK34" s="1490"/>
      <c r="AL34" s="1490"/>
      <c r="AM34" s="1490"/>
      <c r="AN34" s="1490"/>
      <c r="AO34" s="1490"/>
      <c r="AP34" s="1490"/>
      <c r="AQ34" s="1490"/>
      <c r="AR34" s="1490"/>
      <c r="AS34" s="1490"/>
      <c r="AT34" s="1490"/>
      <c r="AU34" s="1490"/>
      <c r="AV34" s="1490"/>
      <c r="AW34" s="1490"/>
      <c r="AX34" s="1490"/>
      <c r="AY34" s="1490"/>
      <c r="AZ34" s="1547"/>
    </row>
    <row r="35" spans="1:52" ht="13.5" customHeight="1">
      <c r="A35" s="1489"/>
      <c r="B35" s="1490"/>
      <c r="C35" s="1490"/>
      <c r="D35" s="1490"/>
      <c r="E35" s="1490"/>
      <c r="F35" s="1490"/>
      <c r="G35" s="1490"/>
      <c r="H35" s="1490"/>
      <c r="I35" s="1490"/>
      <c r="J35" s="1490"/>
      <c r="K35" s="1490"/>
      <c r="L35" s="1490"/>
      <c r="M35" s="1490"/>
      <c r="N35" s="1490"/>
      <c r="O35" s="1490"/>
      <c r="P35" s="1490"/>
      <c r="Q35" s="1490"/>
      <c r="R35" s="1490"/>
      <c r="S35" s="1490"/>
      <c r="T35" s="1490"/>
      <c r="U35" s="1490"/>
      <c r="V35" s="1490"/>
      <c r="W35" s="1490"/>
      <c r="X35" s="1490"/>
      <c r="Y35" s="1490"/>
      <c r="Z35" s="1490"/>
      <c r="AA35" s="1490"/>
      <c r="AB35" s="1490"/>
      <c r="AC35" s="1490"/>
      <c r="AD35" s="1490"/>
      <c r="AE35" s="1490"/>
      <c r="AF35" s="1490"/>
      <c r="AG35" s="1490"/>
      <c r="AH35" s="1490"/>
      <c r="AI35" s="1490"/>
      <c r="AJ35" s="1490"/>
      <c r="AK35" s="1490"/>
      <c r="AL35" s="1490"/>
      <c r="AM35" s="1490"/>
      <c r="AN35" s="1490"/>
      <c r="AO35" s="1490"/>
      <c r="AP35" s="1490"/>
      <c r="AQ35" s="1490"/>
      <c r="AR35" s="1490"/>
      <c r="AS35" s="1490"/>
      <c r="AT35" s="1490"/>
      <c r="AU35" s="1490"/>
      <c r="AV35" s="1490"/>
      <c r="AW35" s="1490"/>
      <c r="AX35" s="1490"/>
      <c r="AY35" s="1490"/>
      <c r="AZ35" s="1547"/>
    </row>
    <row r="36" spans="1:52" ht="12.75" customHeight="1">
      <c r="A36" s="1489" t="str">
        <f>VLOOKUP("ROM",Translations!$A:$T,MATCH(Cover!DR19,Translations!A2:P2,0),0)</f>
        <v>ROM</v>
      </c>
      <c r="B36" s="1490"/>
      <c r="C36" s="1490"/>
      <c r="D36" s="1490"/>
      <c r="E36" s="1490"/>
      <c r="F36" s="1490"/>
      <c r="G36" s="1490"/>
      <c r="H36" s="1490"/>
      <c r="I36" s="1490"/>
      <c r="J36" s="1490"/>
      <c r="K36" s="1490"/>
      <c r="L36" s="1490"/>
      <c r="M36" s="1490"/>
      <c r="N36" s="1490"/>
      <c r="O36" s="1490"/>
      <c r="P36" s="1413"/>
      <c r="Q36" s="1413"/>
      <c r="R36" s="1413"/>
      <c r="S36" s="1413"/>
      <c r="T36" s="1413"/>
      <c r="U36" s="1413"/>
      <c r="V36" s="1413"/>
      <c r="W36" s="1413"/>
      <c r="X36" s="1413"/>
      <c r="Y36" s="1413"/>
      <c r="Z36" s="1413"/>
      <c r="AA36" s="1413"/>
      <c r="AB36" s="1413"/>
      <c r="AC36" s="1413"/>
      <c r="AD36" s="1413"/>
      <c r="AE36" s="1413"/>
      <c r="AF36" s="1413"/>
      <c r="AG36" s="1413"/>
      <c r="AH36" s="1413"/>
      <c r="AI36" s="1413"/>
      <c r="AJ36" s="1413"/>
      <c r="AK36" s="1413"/>
      <c r="AL36" s="1413"/>
      <c r="AM36" s="1413"/>
      <c r="AN36" s="1413"/>
      <c r="AO36" s="1413"/>
      <c r="AP36" s="1413"/>
      <c r="AQ36" s="1413"/>
      <c r="AR36" s="1413"/>
      <c r="AS36" s="1413"/>
      <c r="AT36" s="1413"/>
      <c r="AU36" s="1413"/>
      <c r="AV36" s="1413"/>
      <c r="AW36" s="1413"/>
      <c r="AX36" s="1413"/>
      <c r="AY36" s="1413"/>
      <c r="AZ36" s="1418"/>
    </row>
    <row r="37" spans="1:52" ht="12.75" customHeight="1">
      <c r="A37" s="1489"/>
      <c r="B37" s="1490"/>
      <c r="C37" s="1490"/>
      <c r="D37" s="1490"/>
      <c r="E37" s="1490"/>
      <c r="F37" s="1490"/>
      <c r="G37" s="1490"/>
      <c r="H37" s="1490"/>
      <c r="I37" s="1490"/>
      <c r="J37" s="1490"/>
      <c r="K37" s="1490"/>
      <c r="L37" s="1490"/>
      <c r="M37" s="1490"/>
      <c r="N37" s="1490"/>
      <c r="O37" s="1490"/>
      <c r="P37" s="1413"/>
      <c r="Q37" s="1413"/>
      <c r="R37" s="1413"/>
      <c r="S37" s="1413"/>
      <c r="T37" s="1413"/>
      <c r="U37" s="1413"/>
      <c r="V37" s="1413"/>
      <c r="W37" s="1413"/>
      <c r="X37" s="1413"/>
      <c r="Y37" s="1413"/>
      <c r="Z37" s="1413"/>
      <c r="AA37" s="1413"/>
      <c r="AB37" s="1413"/>
      <c r="AC37" s="1413"/>
      <c r="AD37" s="1413"/>
      <c r="AE37" s="1413"/>
      <c r="AF37" s="1413"/>
      <c r="AG37" s="1413"/>
      <c r="AH37" s="1413"/>
      <c r="AI37" s="1413"/>
      <c r="AJ37" s="1413"/>
      <c r="AK37" s="1413"/>
      <c r="AL37" s="1413"/>
      <c r="AM37" s="1413"/>
      <c r="AN37" s="1413"/>
      <c r="AO37" s="1413"/>
      <c r="AP37" s="1413"/>
      <c r="AQ37" s="1413"/>
      <c r="AR37" s="1413"/>
      <c r="AS37" s="1413"/>
      <c r="AT37" s="1413"/>
      <c r="AU37" s="1413"/>
      <c r="AV37" s="1413"/>
      <c r="AW37" s="1413"/>
      <c r="AX37" s="1413"/>
      <c r="AY37" s="1413"/>
      <c r="AZ37" s="1418"/>
    </row>
    <row r="38" spans="1:52" ht="13.5" customHeight="1">
      <c r="A38" s="1489"/>
      <c r="B38" s="1490"/>
      <c r="C38" s="1490"/>
      <c r="D38" s="1490"/>
      <c r="E38" s="1490"/>
      <c r="F38" s="1490"/>
      <c r="G38" s="1490"/>
      <c r="H38" s="1490"/>
      <c r="I38" s="1490"/>
      <c r="J38" s="1490"/>
      <c r="K38" s="1490"/>
      <c r="L38" s="1490"/>
      <c r="M38" s="1490"/>
      <c r="N38" s="1490"/>
      <c r="O38" s="1490"/>
      <c r="P38" s="1413"/>
      <c r="Q38" s="1413"/>
      <c r="R38" s="1413"/>
      <c r="S38" s="1413"/>
      <c r="T38" s="1413"/>
      <c r="U38" s="1413"/>
      <c r="V38" s="1413"/>
      <c r="W38" s="1413"/>
      <c r="X38" s="1413"/>
      <c r="Y38" s="1413"/>
      <c r="Z38" s="1413"/>
      <c r="AA38" s="1413"/>
      <c r="AB38" s="1413"/>
      <c r="AC38" s="1413"/>
      <c r="AD38" s="1413"/>
      <c r="AE38" s="1413"/>
      <c r="AF38" s="1413"/>
      <c r="AG38" s="1413"/>
      <c r="AH38" s="1413"/>
      <c r="AI38" s="1413"/>
      <c r="AJ38" s="1413"/>
      <c r="AK38" s="1413"/>
      <c r="AL38" s="1413"/>
      <c r="AM38" s="1413"/>
      <c r="AN38" s="1413"/>
      <c r="AO38" s="1413"/>
      <c r="AP38" s="1413"/>
      <c r="AQ38" s="1413"/>
      <c r="AR38" s="1413"/>
      <c r="AS38" s="1413"/>
      <c r="AT38" s="1413"/>
      <c r="AU38" s="1413"/>
      <c r="AV38" s="1413"/>
      <c r="AW38" s="1413"/>
      <c r="AX38" s="1413"/>
      <c r="AY38" s="1413"/>
      <c r="AZ38" s="1418"/>
    </row>
    <row r="39" spans="1:52" ht="12.75" customHeight="1">
      <c r="A39" s="1489" t="str">
        <f>VLOOKUP("RAM",Translations!$A:$T,MATCH(Cover!DR19,Translations!A2:P2,0),0)</f>
        <v>RAM</v>
      </c>
      <c r="B39" s="1490"/>
      <c r="C39" s="1490"/>
      <c r="D39" s="1490"/>
      <c r="E39" s="1490"/>
      <c r="F39" s="1490"/>
      <c r="G39" s="1490"/>
      <c r="H39" s="1490"/>
      <c r="I39" s="1490"/>
      <c r="J39" s="1490"/>
      <c r="K39" s="1490"/>
      <c r="L39" s="1490"/>
      <c r="M39" s="1490"/>
      <c r="N39" s="1490"/>
      <c r="O39" s="1490"/>
      <c r="P39" s="1413"/>
      <c r="Q39" s="1413"/>
      <c r="R39" s="1413"/>
      <c r="S39" s="1413"/>
      <c r="T39" s="1413"/>
      <c r="U39" s="1413"/>
      <c r="V39" s="1413"/>
      <c r="W39" s="1413"/>
      <c r="X39" s="1413"/>
      <c r="Y39" s="1413"/>
      <c r="Z39" s="1413"/>
      <c r="AA39" s="1413"/>
      <c r="AB39" s="1413"/>
      <c r="AC39" s="1413"/>
      <c r="AD39" s="1413"/>
      <c r="AE39" s="1413"/>
      <c r="AF39" s="1413"/>
      <c r="AG39" s="1413"/>
      <c r="AH39" s="1413"/>
      <c r="AI39" s="1413"/>
      <c r="AJ39" s="1413"/>
      <c r="AK39" s="1413"/>
      <c r="AL39" s="1413"/>
      <c r="AM39" s="1413"/>
      <c r="AN39" s="1413"/>
      <c r="AO39" s="1413"/>
      <c r="AP39" s="1413"/>
      <c r="AQ39" s="1413"/>
      <c r="AR39" s="1413"/>
      <c r="AS39" s="1413"/>
      <c r="AT39" s="1413"/>
      <c r="AU39" s="1413"/>
      <c r="AV39" s="1413"/>
      <c r="AW39" s="1413"/>
      <c r="AX39" s="1413"/>
      <c r="AY39" s="1413"/>
      <c r="AZ39" s="1418"/>
    </row>
    <row r="40" spans="1:52" ht="12.75" customHeight="1">
      <c r="A40" s="1489"/>
      <c r="B40" s="1490"/>
      <c r="C40" s="1490"/>
      <c r="D40" s="1490"/>
      <c r="E40" s="1490"/>
      <c r="F40" s="1490"/>
      <c r="G40" s="1490"/>
      <c r="H40" s="1490"/>
      <c r="I40" s="1490"/>
      <c r="J40" s="1490"/>
      <c r="K40" s="1490"/>
      <c r="L40" s="1490"/>
      <c r="M40" s="1490"/>
      <c r="N40" s="1490"/>
      <c r="O40" s="1490"/>
      <c r="P40" s="1413"/>
      <c r="Q40" s="1413"/>
      <c r="R40" s="1413"/>
      <c r="S40" s="1413"/>
      <c r="T40" s="1413"/>
      <c r="U40" s="1413"/>
      <c r="V40" s="1413"/>
      <c r="W40" s="1413"/>
      <c r="X40" s="1413"/>
      <c r="Y40" s="1413"/>
      <c r="Z40" s="1413"/>
      <c r="AA40" s="1413"/>
      <c r="AB40" s="1413"/>
      <c r="AC40" s="1413"/>
      <c r="AD40" s="1413"/>
      <c r="AE40" s="1413"/>
      <c r="AF40" s="1413"/>
      <c r="AG40" s="1413"/>
      <c r="AH40" s="1413"/>
      <c r="AI40" s="1413"/>
      <c r="AJ40" s="1413"/>
      <c r="AK40" s="1413"/>
      <c r="AL40" s="1413"/>
      <c r="AM40" s="1413"/>
      <c r="AN40" s="1413"/>
      <c r="AO40" s="1413"/>
      <c r="AP40" s="1413"/>
      <c r="AQ40" s="1413"/>
      <c r="AR40" s="1413"/>
      <c r="AS40" s="1413"/>
      <c r="AT40" s="1413"/>
      <c r="AU40" s="1413"/>
      <c r="AV40" s="1413"/>
      <c r="AW40" s="1413"/>
      <c r="AX40" s="1413"/>
      <c r="AY40" s="1413"/>
      <c r="AZ40" s="1418"/>
    </row>
    <row r="41" spans="1:52" ht="13.5" customHeight="1">
      <c r="A41" s="1489"/>
      <c r="B41" s="1490"/>
      <c r="C41" s="1490"/>
      <c r="D41" s="1490"/>
      <c r="E41" s="1490"/>
      <c r="F41" s="1490"/>
      <c r="G41" s="1490"/>
      <c r="H41" s="1490"/>
      <c r="I41" s="1490"/>
      <c r="J41" s="1490"/>
      <c r="K41" s="1490"/>
      <c r="L41" s="1490"/>
      <c r="M41" s="1490"/>
      <c r="N41" s="1490"/>
      <c r="O41" s="1490"/>
      <c r="P41" s="1413"/>
      <c r="Q41" s="1413"/>
      <c r="R41" s="1413"/>
      <c r="S41" s="1413"/>
      <c r="T41" s="1413"/>
      <c r="U41" s="1413"/>
      <c r="V41" s="1413"/>
      <c r="W41" s="1413"/>
      <c r="X41" s="1413"/>
      <c r="Y41" s="1413"/>
      <c r="Z41" s="1413"/>
      <c r="AA41" s="1413"/>
      <c r="AB41" s="1413"/>
      <c r="AC41" s="1413"/>
      <c r="AD41" s="1413"/>
      <c r="AE41" s="1413"/>
      <c r="AF41" s="1413"/>
      <c r="AG41" s="1413"/>
      <c r="AH41" s="1413"/>
      <c r="AI41" s="1413"/>
      <c r="AJ41" s="1413"/>
      <c r="AK41" s="1413"/>
      <c r="AL41" s="1413"/>
      <c r="AM41" s="1413"/>
      <c r="AN41" s="1413"/>
      <c r="AO41" s="1413"/>
      <c r="AP41" s="1413"/>
      <c r="AQ41" s="1413"/>
      <c r="AR41" s="1413"/>
      <c r="AS41" s="1413"/>
      <c r="AT41" s="1413"/>
      <c r="AU41" s="1413"/>
      <c r="AV41" s="1413"/>
      <c r="AW41" s="1413"/>
      <c r="AX41" s="1413"/>
      <c r="AY41" s="1413"/>
      <c r="AZ41" s="1418"/>
    </row>
    <row r="42" spans="1:52" ht="13.5" customHeight="1">
      <c r="A42" s="1489" t="str">
        <f>VLOOKUP("EEPROM",Translations!$A:$T,MATCH(Cover!DR19,Translations!A2:P2,0),0)</f>
        <v>EEPROM</v>
      </c>
      <c r="B42" s="1490"/>
      <c r="C42" s="1490"/>
      <c r="D42" s="1490"/>
      <c r="E42" s="1490"/>
      <c r="F42" s="1490"/>
      <c r="G42" s="1490"/>
      <c r="H42" s="1490"/>
      <c r="I42" s="1490"/>
      <c r="J42" s="1490"/>
      <c r="K42" s="1490"/>
      <c r="L42" s="1490"/>
      <c r="M42" s="1490"/>
      <c r="N42" s="1490"/>
      <c r="O42" s="1490"/>
      <c r="P42" s="1413"/>
      <c r="Q42" s="1413"/>
      <c r="R42" s="1413"/>
      <c r="S42" s="1413"/>
      <c r="T42" s="1413"/>
      <c r="U42" s="1413"/>
      <c r="V42" s="1413"/>
      <c r="W42" s="1413"/>
      <c r="X42" s="1413"/>
      <c r="Y42" s="1413"/>
      <c r="Z42" s="1413"/>
      <c r="AA42" s="1413"/>
      <c r="AB42" s="1413"/>
      <c r="AC42" s="1413"/>
      <c r="AD42" s="1413"/>
      <c r="AE42" s="1413"/>
      <c r="AF42" s="1413"/>
      <c r="AG42" s="1413"/>
      <c r="AH42" s="1413"/>
      <c r="AI42" s="1413"/>
      <c r="AJ42" s="1413"/>
      <c r="AK42" s="1413"/>
      <c r="AL42" s="1413"/>
      <c r="AM42" s="1413"/>
      <c r="AN42" s="1413"/>
      <c r="AO42" s="1413"/>
      <c r="AP42" s="1413"/>
      <c r="AQ42" s="1413"/>
      <c r="AR42" s="1413"/>
      <c r="AS42" s="1413"/>
      <c r="AT42" s="1413"/>
      <c r="AU42" s="1413"/>
      <c r="AV42" s="1413"/>
      <c r="AW42" s="1413"/>
      <c r="AX42" s="1413"/>
      <c r="AY42" s="1413"/>
      <c r="AZ42" s="1418"/>
    </row>
    <row r="43" spans="1:52" ht="13.5" customHeight="1">
      <c r="A43" s="1489"/>
      <c r="B43" s="1490"/>
      <c r="C43" s="1490"/>
      <c r="D43" s="1490"/>
      <c r="E43" s="1490"/>
      <c r="F43" s="1490"/>
      <c r="G43" s="1490"/>
      <c r="H43" s="1490"/>
      <c r="I43" s="1490"/>
      <c r="J43" s="1490"/>
      <c r="K43" s="1490"/>
      <c r="L43" s="1490"/>
      <c r="M43" s="1490"/>
      <c r="N43" s="1490"/>
      <c r="O43" s="1490"/>
      <c r="P43" s="1413"/>
      <c r="Q43" s="1413"/>
      <c r="R43" s="1413"/>
      <c r="S43" s="1413"/>
      <c r="T43" s="1413"/>
      <c r="U43" s="1413"/>
      <c r="V43" s="1413"/>
      <c r="W43" s="1413"/>
      <c r="X43" s="1413"/>
      <c r="Y43" s="1413"/>
      <c r="Z43" s="1413"/>
      <c r="AA43" s="1413"/>
      <c r="AB43" s="1413"/>
      <c r="AC43" s="1413"/>
      <c r="AD43" s="1413"/>
      <c r="AE43" s="1413"/>
      <c r="AF43" s="1413"/>
      <c r="AG43" s="1413"/>
      <c r="AH43" s="1413"/>
      <c r="AI43" s="1413"/>
      <c r="AJ43" s="1413"/>
      <c r="AK43" s="1413"/>
      <c r="AL43" s="1413"/>
      <c r="AM43" s="1413"/>
      <c r="AN43" s="1413"/>
      <c r="AO43" s="1413"/>
      <c r="AP43" s="1413"/>
      <c r="AQ43" s="1413"/>
      <c r="AR43" s="1413"/>
      <c r="AS43" s="1413"/>
      <c r="AT43" s="1413"/>
      <c r="AU43" s="1413"/>
      <c r="AV43" s="1413"/>
      <c r="AW43" s="1413"/>
      <c r="AX43" s="1413"/>
      <c r="AY43" s="1413"/>
      <c r="AZ43" s="1418"/>
    </row>
    <row r="44" spans="1:52" ht="13.5" customHeight="1">
      <c r="A44" s="1489"/>
      <c r="B44" s="1490"/>
      <c r="C44" s="1490"/>
      <c r="D44" s="1490"/>
      <c r="E44" s="1490"/>
      <c r="F44" s="1490"/>
      <c r="G44" s="1490"/>
      <c r="H44" s="1490"/>
      <c r="I44" s="1490"/>
      <c r="J44" s="1490"/>
      <c r="K44" s="1490"/>
      <c r="L44" s="1490"/>
      <c r="M44" s="1490"/>
      <c r="N44" s="1490"/>
      <c r="O44" s="1490"/>
      <c r="P44" s="1413"/>
      <c r="Q44" s="1413"/>
      <c r="R44" s="1413"/>
      <c r="S44" s="1413"/>
      <c r="T44" s="1413"/>
      <c r="U44" s="1413"/>
      <c r="V44" s="1413"/>
      <c r="W44" s="1413"/>
      <c r="X44" s="1413"/>
      <c r="Y44" s="1413"/>
      <c r="Z44" s="1413"/>
      <c r="AA44" s="1413"/>
      <c r="AB44" s="1413"/>
      <c r="AC44" s="1413"/>
      <c r="AD44" s="1413"/>
      <c r="AE44" s="1413"/>
      <c r="AF44" s="1413"/>
      <c r="AG44" s="1413"/>
      <c r="AH44" s="1413"/>
      <c r="AI44" s="1413"/>
      <c r="AJ44" s="1413"/>
      <c r="AK44" s="1413"/>
      <c r="AL44" s="1413"/>
      <c r="AM44" s="1413"/>
      <c r="AN44" s="1413"/>
      <c r="AO44" s="1413"/>
      <c r="AP44" s="1413"/>
      <c r="AQ44" s="1413"/>
      <c r="AR44" s="1413"/>
      <c r="AS44" s="1413"/>
      <c r="AT44" s="1413"/>
      <c r="AU44" s="1413"/>
      <c r="AV44" s="1413"/>
      <c r="AW44" s="1413"/>
      <c r="AX44" s="1413"/>
      <c r="AY44" s="1413"/>
      <c r="AZ44" s="1418"/>
    </row>
    <row r="45" spans="1:52" ht="13.5" customHeight="1">
      <c r="A45" s="1489" t="str">
        <f>VLOOKUP("Harddisk",Translations!$A:$T,MATCH(Cover!DR19,Translations!A2:P2,0),0)</f>
        <v>Hard disk</v>
      </c>
      <c r="B45" s="1490"/>
      <c r="C45" s="1490"/>
      <c r="D45" s="1490"/>
      <c r="E45" s="1490"/>
      <c r="F45" s="1490"/>
      <c r="G45" s="1490"/>
      <c r="H45" s="1490"/>
      <c r="I45" s="1490"/>
      <c r="J45" s="1490"/>
      <c r="K45" s="1490"/>
      <c r="L45" s="1490"/>
      <c r="M45" s="1490"/>
      <c r="N45" s="1490"/>
      <c r="O45" s="1490"/>
      <c r="P45" s="1413"/>
      <c r="Q45" s="1413"/>
      <c r="R45" s="1413"/>
      <c r="S45" s="1413"/>
      <c r="T45" s="1413"/>
      <c r="U45" s="1413"/>
      <c r="V45" s="1413"/>
      <c r="W45" s="1413"/>
      <c r="X45" s="1413"/>
      <c r="Y45" s="1413"/>
      <c r="Z45" s="1413"/>
      <c r="AA45" s="1413"/>
      <c r="AB45" s="1413"/>
      <c r="AC45" s="1413"/>
      <c r="AD45" s="1413"/>
      <c r="AE45" s="1413"/>
      <c r="AF45" s="1413"/>
      <c r="AG45" s="1413"/>
      <c r="AH45" s="1413"/>
      <c r="AI45" s="1413"/>
      <c r="AJ45" s="1413"/>
      <c r="AK45" s="1413"/>
      <c r="AL45" s="1413"/>
      <c r="AM45" s="1413"/>
      <c r="AN45" s="1413"/>
      <c r="AO45" s="1413"/>
      <c r="AP45" s="1413"/>
      <c r="AQ45" s="1413"/>
      <c r="AR45" s="1413"/>
      <c r="AS45" s="1413"/>
      <c r="AT45" s="1413"/>
      <c r="AU45" s="1413"/>
      <c r="AV45" s="1413"/>
      <c r="AW45" s="1413"/>
      <c r="AX45" s="1413"/>
      <c r="AY45" s="1413"/>
      <c r="AZ45" s="1418"/>
    </row>
    <row r="46" spans="1:52" ht="13.5" customHeight="1">
      <c r="A46" s="1489"/>
      <c r="B46" s="1490"/>
      <c r="C46" s="1490"/>
      <c r="D46" s="1490"/>
      <c r="E46" s="1490"/>
      <c r="F46" s="1490"/>
      <c r="G46" s="1490"/>
      <c r="H46" s="1490"/>
      <c r="I46" s="1490"/>
      <c r="J46" s="1490"/>
      <c r="K46" s="1490"/>
      <c r="L46" s="1490"/>
      <c r="M46" s="1490"/>
      <c r="N46" s="1490"/>
      <c r="O46" s="1490"/>
      <c r="P46" s="1413"/>
      <c r="Q46" s="1413"/>
      <c r="R46" s="1413"/>
      <c r="S46" s="1413"/>
      <c r="T46" s="1413"/>
      <c r="U46" s="1413"/>
      <c r="V46" s="1413"/>
      <c r="W46" s="1413"/>
      <c r="X46" s="1413"/>
      <c r="Y46" s="1413"/>
      <c r="Z46" s="1413"/>
      <c r="AA46" s="1413"/>
      <c r="AB46" s="1413"/>
      <c r="AC46" s="1413"/>
      <c r="AD46" s="1413"/>
      <c r="AE46" s="1413"/>
      <c r="AF46" s="1413"/>
      <c r="AG46" s="1413"/>
      <c r="AH46" s="1413"/>
      <c r="AI46" s="1413"/>
      <c r="AJ46" s="1413"/>
      <c r="AK46" s="1413"/>
      <c r="AL46" s="1413"/>
      <c r="AM46" s="1413"/>
      <c r="AN46" s="1413"/>
      <c r="AO46" s="1413"/>
      <c r="AP46" s="1413"/>
      <c r="AQ46" s="1413"/>
      <c r="AR46" s="1413"/>
      <c r="AS46" s="1413"/>
      <c r="AT46" s="1413"/>
      <c r="AU46" s="1413"/>
      <c r="AV46" s="1413"/>
      <c r="AW46" s="1413"/>
      <c r="AX46" s="1413"/>
      <c r="AY46" s="1413"/>
      <c r="AZ46" s="1418"/>
    </row>
    <row r="47" spans="1:52" ht="13.5" customHeight="1">
      <c r="A47" s="1489"/>
      <c r="B47" s="1490"/>
      <c r="C47" s="1490"/>
      <c r="D47" s="1490"/>
      <c r="E47" s="1490"/>
      <c r="F47" s="1490"/>
      <c r="G47" s="1490"/>
      <c r="H47" s="1490"/>
      <c r="I47" s="1490"/>
      <c r="J47" s="1490"/>
      <c r="K47" s="1490"/>
      <c r="L47" s="1490"/>
      <c r="M47" s="1490"/>
      <c r="N47" s="1490"/>
      <c r="O47" s="1490"/>
      <c r="P47" s="1413"/>
      <c r="Q47" s="1413"/>
      <c r="R47" s="1413"/>
      <c r="S47" s="1413"/>
      <c r="T47" s="1413"/>
      <c r="U47" s="1413"/>
      <c r="V47" s="1413"/>
      <c r="W47" s="1413"/>
      <c r="X47" s="1413"/>
      <c r="Y47" s="1413"/>
      <c r="Z47" s="1413"/>
      <c r="AA47" s="1413"/>
      <c r="AB47" s="1413"/>
      <c r="AC47" s="1413"/>
      <c r="AD47" s="1413"/>
      <c r="AE47" s="1413"/>
      <c r="AF47" s="1413"/>
      <c r="AG47" s="1413"/>
      <c r="AH47" s="1413"/>
      <c r="AI47" s="1413"/>
      <c r="AJ47" s="1413"/>
      <c r="AK47" s="1413"/>
      <c r="AL47" s="1413"/>
      <c r="AM47" s="1413"/>
      <c r="AN47" s="1413"/>
      <c r="AO47" s="1413"/>
      <c r="AP47" s="1413"/>
      <c r="AQ47" s="1413"/>
      <c r="AR47" s="1413"/>
      <c r="AS47" s="1413"/>
      <c r="AT47" s="1413"/>
      <c r="AU47" s="1413"/>
      <c r="AV47" s="1413"/>
      <c r="AW47" s="1413"/>
      <c r="AX47" s="1413"/>
      <c r="AY47" s="1413"/>
      <c r="AZ47" s="1418"/>
    </row>
    <row r="48" spans="1:52">
      <c r="A48" s="1507"/>
      <c r="B48" s="1508"/>
      <c r="C48" s="1508"/>
      <c r="D48" s="1508"/>
      <c r="E48" s="1508"/>
      <c r="F48" s="1508"/>
      <c r="G48" s="1508"/>
      <c r="H48" s="1508"/>
      <c r="I48" s="1508"/>
      <c r="J48" s="1508"/>
      <c r="K48" s="1508"/>
      <c r="L48" s="1508"/>
      <c r="M48" s="1508"/>
      <c r="N48" s="1508"/>
      <c r="O48" s="1508"/>
      <c r="P48" s="1511"/>
      <c r="Q48" s="1511"/>
      <c r="R48" s="1511"/>
      <c r="S48" s="1511"/>
      <c r="T48" s="1511"/>
      <c r="U48" s="1511"/>
      <c r="V48" s="1511"/>
      <c r="W48" s="1511"/>
      <c r="X48" s="1511"/>
      <c r="Y48" s="1511"/>
      <c r="Z48" s="1511"/>
      <c r="AA48" s="1511"/>
      <c r="AB48" s="1511"/>
      <c r="AC48" s="1511"/>
      <c r="AD48" s="1511"/>
      <c r="AE48" s="1511"/>
      <c r="AF48" s="1511"/>
      <c r="AG48" s="1511"/>
      <c r="AH48" s="1511"/>
      <c r="AI48" s="1511"/>
      <c r="AJ48" s="1511"/>
      <c r="AK48" s="1511"/>
      <c r="AL48" s="1511"/>
      <c r="AM48" s="1511"/>
      <c r="AN48" s="1511"/>
      <c r="AO48" s="1511"/>
      <c r="AP48" s="1511"/>
      <c r="AQ48" s="1511"/>
      <c r="AR48" s="1511"/>
      <c r="AS48" s="1511"/>
      <c r="AT48" s="1511"/>
      <c r="AU48" s="1511"/>
      <c r="AV48" s="1511"/>
      <c r="AW48" s="1511"/>
      <c r="AX48" s="1511"/>
      <c r="AY48" s="1511"/>
      <c r="AZ48" s="1513"/>
    </row>
    <row r="49" spans="1:52">
      <c r="A49" s="1507"/>
      <c r="B49" s="1508"/>
      <c r="C49" s="1508"/>
      <c r="D49" s="1508"/>
      <c r="E49" s="1508"/>
      <c r="F49" s="1508"/>
      <c r="G49" s="1508"/>
      <c r="H49" s="1508"/>
      <c r="I49" s="1508"/>
      <c r="J49" s="1508"/>
      <c r="K49" s="1508"/>
      <c r="L49" s="1508"/>
      <c r="M49" s="1508"/>
      <c r="N49" s="1508"/>
      <c r="O49" s="1508"/>
      <c r="P49" s="1511"/>
      <c r="Q49" s="1511"/>
      <c r="R49" s="1511"/>
      <c r="S49" s="1511"/>
      <c r="T49" s="1511"/>
      <c r="U49" s="1511"/>
      <c r="V49" s="1511"/>
      <c r="W49" s="1511"/>
      <c r="X49" s="1511"/>
      <c r="Y49" s="1511"/>
      <c r="Z49" s="1511"/>
      <c r="AA49" s="1511"/>
      <c r="AB49" s="1511"/>
      <c r="AC49" s="1511"/>
      <c r="AD49" s="1511"/>
      <c r="AE49" s="1511"/>
      <c r="AF49" s="1511"/>
      <c r="AG49" s="1511"/>
      <c r="AH49" s="1511"/>
      <c r="AI49" s="1511"/>
      <c r="AJ49" s="1511"/>
      <c r="AK49" s="1511"/>
      <c r="AL49" s="1511"/>
      <c r="AM49" s="1511"/>
      <c r="AN49" s="1511"/>
      <c r="AO49" s="1511"/>
      <c r="AP49" s="1511"/>
      <c r="AQ49" s="1511"/>
      <c r="AR49" s="1511"/>
      <c r="AS49" s="1511"/>
      <c r="AT49" s="1511"/>
      <c r="AU49" s="1511"/>
      <c r="AV49" s="1511"/>
      <c r="AW49" s="1511"/>
      <c r="AX49" s="1511"/>
      <c r="AY49" s="1511"/>
      <c r="AZ49" s="1513"/>
    </row>
    <row r="50" spans="1:52" ht="13.5" thickBot="1">
      <c r="A50" s="1509"/>
      <c r="B50" s="1510"/>
      <c r="C50" s="1510"/>
      <c r="D50" s="1510"/>
      <c r="E50" s="1510"/>
      <c r="F50" s="1510"/>
      <c r="G50" s="1510"/>
      <c r="H50" s="1510"/>
      <c r="I50" s="1510"/>
      <c r="J50" s="1510"/>
      <c r="K50" s="1510"/>
      <c r="L50" s="1510"/>
      <c r="M50" s="1510"/>
      <c r="N50" s="1510"/>
      <c r="O50" s="1510"/>
      <c r="P50" s="1512"/>
      <c r="Q50" s="1512"/>
      <c r="R50" s="1512"/>
      <c r="S50" s="1512"/>
      <c r="T50" s="1512"/>
      <c r="U50" s="1512"/>
      <c r="V50" s="1512"/>
      <c r="W50" s="1512"/>
      <c r="X50" s="1512"/>
      <c r="Y50" s="1512"/>
      <c r="Z50" s="1512"/>
      <c r="AA50" s="1512"/>
      <c r="AB50" s="1512"/>
      <c r="AC50" s="1512"/>
      <c r="AD50" s="1512"/>
      <c r="AE50" s="1512"/>
      <c r="AF50" s="1512"/>
      <c r="AG50" s="1512"/>
      <c r="AH50" s="1512"/>
      <c r="AI50" s="1512"/>
      <c r="AJ50" s="1512"/>
      <c r="AK50" s="1512"/>
      <c r="AL50" s="1512"/>
      <c r="AM50" s="1512"/>
      <c r="AN50" s="1512"/>
      <c r="AO50" s="1512"/>
      <c r="AP50" s="1512"/>
      <c r="AQ50" s="1512"/>
      <c r="AR50" s="1512"/>
      <c r="AS50" s="1512"/>
      <c r="AT50" s="1512"/>
      <c r="AU50" s="1512"/>
      <c r="AV50" s="1512"/>
      <c r="AW50" s="1512"/>
      <c r="AX50" s="1512"/>
      <c r="AY50" s="1512"/>
      <c r="AZ50" s="1514"/>
    </row>
    <row r="51" spans="1:52" ht="15.75" thickBot="1">
      <c r="A51" s="637"/>
      <c r="B51" s="638"/>
      <c r="C51" s="638"/>
      <c r="D51" s="638"/>
      <c r="E51" s="638"/>
      <c r="F51" s="638"/>
      <c r="G51" s="638"/>
      <c r="H51" s="638"/>
      <c r="I51" s="638"/>
      <c r="J51" s="638"/>
      <c r="K51" s="638"/>
      <c r="L51" s="638"/>
      <c r="M51" s="638"/>
      <c r="N51" s="638"/>
      <c r="O51" s="638"/>
      <c r="P51" s="638"/>
      <c r="Q51" s="638"/>
      <c r="R51" s="638"/>
      <c r="S51" s="638"/>
      <c r="T51" s="638"/>
      <c r="U51" s="638"/>
      <c r="V51" s="638"/>
      <c r="W51" s="638"/>
      <c r="X51" s="638"/>
      <c r="Y51" s="638"/>
      <c r="Z51" s="638"/>
      <c r="AA51" s="638"/>
      <c r="AB51" s="638"/>
      <c r="AC51" s="638"/>
      <c r="AD51" s="638"/>
      <c r="AE51" s="638"/>
      <c r="AF51" s="638"/>
      <c r="AG51" s="638"/>
      <c r="AH51" s="638"/>
      <c r="AI51" s="638"/>
      <c r="AJ51" s="638"/>
      <c r="AK51" s="638"/>
      <c r="AL51" s="638"/>
      <c r="AM51" s="638"/>
      <c r="AN51" s="638"/>
      <c r="AO51" s="638"/>
      <c r="AP51" s="638"/>
      <c r="AQ51" s="638"/>
      <c r="AR51" s="638"/>
      <c r="AS51" s="638"/>
      <c r="AT51" s="638"/>
      <c r="AU51" s="638"/>
      <c r="AV51" s="638"/>
      <c r="AW51" s="638"/>
      <c r="AX51" s="638"/>
      <c r="AY51" s="638"/>
      <c r="AZ51" s="639"/>
    </row>
    <row r="52" spans="1:52">
      <c r="A52" s="1493" t="str">
        <f>VLOOKUP("Kompatibilitat",Translations!$A:$T,MATCH(Cover!DR19,Translations!A2:P2,0),0)</f>
        <v>Compatibility</v>
      </c>
      <c r="B52" s="1494"/>
      <c r="C52" s="1494"/>
      <c r="D52" s="1494"/>
      <c r="E52" s="1494"/>
      <c r="F52" s="1494"/>
      <c r="G52" s="1494"/>
      <c r="H52" s="1494"/>
      <c r="I52" s="1494"/>
      <c r="J52" s="1494"/>
      <c r="K52" s="1494"/>
      <c r="L52" s="1494"/>
      <c r="M52" s="1494"/>
      <c r="N52" s="1494"/>
      <c r="O52" s="1494"/>
      <c r="P52" s="1494"/>
      <c r="Q52" s="1494"/>
      <c r="R52" s="1494"/>
      <c r="S52" s="1494"/>
      <c r="T52" s="1494"/>
      <c r="U52" s="1494"/>
      <c r="V52" s="1494"/>
      <c r="W52" s="1494"/>
      <c r="X52" s="1494"/>
      <c r="Y52" s="1494"/>
      <c r="Z52" s="1494"/>
      <c r="AA52" s="1494"/>
      <c r="AB52" s="1494"/>
      <c r="AC52" s="1494"/>
      <c r="AD52" s="1494"/>
      <c r="AE52" s="1494"/>
      <c r="AF52" s="1494"/>
      <c r="AG52" s="1494"/>
      <c r="AH52" s="1494"/>
      <c r="AI52" s="1494"/>
      <c r="AJ52" s="1494"/>
      <c r="AK52" s="1494"/>
      <c r="AL52" s="1494"/>
      <c r="AM52" s="1494"/>
      <c r="AN52" s="1494"/>
      <c r="AO52" s="1494"/>
      <c r="AP52" s="1494"/>
      <c r="AQ52" s="1494"/>
      <c r="AR52" s="1494"/>
      <c r="AS52" s="1494"/>
      <c r="AT52" s="1494"/>
      <c r="AU52" s="1494"/>
      <c r="AV52" s="1494"/>
      <c r="AW52" s="1494"/>
      <c r="AX52" s="1494"/>
      <c r="AY52" s="1494"/>
      <c r="AZ52" s="1495"/>
    </row>
    <row r="53" spans="1:52">
      <c r="A53" s="1496"/>
      <c r="B53" s="1497"/>
      <c r="C53" s="1497"/>
      <c r="D53" s="1497"/>
      <c r="E53" s="1497"/>
      <c r="F53" s="1497"/>
      <c r="G53" s="1497"/>
      <c r="H53" s="1497"/>
      <c r="I53" s="1497"/>
      <c r="J53" s="1497"/>
      <c r="K53" s="1497"/>
      <c r="L53" s="1497"/>
      <c r="M53" s="1497"/>
      <c r="N53" s="1497"/>
      <c r="O53" s="1497"/>
      <c r="P53" s="1497"/>
      <c r="Q53" s="1497"/>
      <c r="R53" s="1497"/>
      <c r="S53" s="1497"/>
      <c r="T53" s="1497"/>
      <c r="U53" s="1497"/>
      <c r="V53" s="1497"/>
      <c r="W53" s="1497"/>
      <c r="X53" s="1497"/>
      <c r="Y53" s="1497"/>
      <c r="Z53" s="1497"/>
      <c r="AA53" s="1497"/>
      <c r="AB53" s="1497"/>
      <c r="AC53" s="1497"/>
      <c r="AD53" s="1497"/>
      <c r="AE53" s="1497"/>
      <c r="AF53" s="1497"/>
      <c r="AG53" s="1497"/>
      <c r="AH53" s="1497"/>
      <c r="AI53" s="1497"/>
      <c r="AJ53" s="1497"/>
      <c r="AK53" s="1497"/>
      <c r="AL53" s="1497"/>
      <c r="AM53" s="1497"/>
      <c r="AN53" s="1497"/>
      <c r="AO53" s="1497"/>
      <c r="AP53" s="1497"/>
      <c r="AQ53" s="1497"/>
      <c r="AR53" s="1497"/>
      <c r="AS53" s="1497"/>
      <c r="AT53" s="1497"/>
      <c r="AU53" s="1497"/>
      <c r="AV53" s="1497"/>
      <c r="AW53" s="1497"/>
      <c r="AX53" s="1497"/>
      <c r="AY53" s="1497"/>
      <c r="AZ53" s="1498"/>
    </row>
    <row r="54" spans="1:52" ht="21.95" customHeight="1">
      <c r="A54" s="1499" t="str">
        <f>VLOOKUP("Auf welche Hardware (Sachnummer) kann die Software geflasht werde (Sachnummer)?",Translations!$A:$T,MATCH(Cover!DR19,Translations!A2:P2,0),0)</f>
        <v>On which hard ware (part no.) is it possible to flash the software (part no.)?</v>
      </c>
      <c r="B54" s="1500"/>
      <c r="C54" s="1500"/>
      <c r="D54" s="1500"/>
      <c r="E54" s="1500"/>
      <c r="F54" s="1500"/>
      <c r="G54" s="1500"/>
      <c r="H54" s="1500"/>
      <c r="I54" s="1500"/>
      <c r="J54" s="1500"/>
      <c r="K54" s="1500"/>
      <c r="L54" s="1500"/>
      <c r="M54" s="1500"/>
      <c r="N54" s="1500"/>
      <c r="O54" s="1500"/>
      <c r="P54" s="1476" t="str">
        <f>VLOOKUP("HW Stand",Translations!$A:$T,MATCH(Cover!DR19,Translations!A2:P2,0),0)</f>
        <v>HW Version</v>
      </c>
      <c r="Q54" s="1476"/>
      <c r="R54" s="1476"/>
      <c r="S54" s="1476"/>
      <c r="T54" s="1476"/>
      <c r="U54" s="1476"/>
      <c r="V54" s="1476" t="str">
        <f>VLOOKUP("HW Stand",Translations!$A:$T,MATCH(Cover!DR19,Translations!A2:P2,0),0)</f>
        <v>HW Version</v>
      </c>
      <c r="W54" s="1476"/>
      <c r="X54" s="1476"/>
      <c r="Y54" s="1476"/>
      <c r="Z54" s="1476"/>
      <c r="AA54" s="1476"/>
      <c r="AB54" s="1476" t="str">
        <f>VLOOKUP("HW Stand",Translations!$A:$T,MATCH(Cover!DR19,Translations!A2:P2,0),0)</f>
        <v>HW Version</v>
      </c>
      <c r="AC54" s="1476"/>
      <c r="AD54" s="1476"/>
      <c r="AE54" s="1476"/>
      <c r="AF54" s="1476"/>
      <c r="AG54" s="1476"/>
      <c r="AH54" s="1476" t="str">
        <f>VLOOKUP("HW Stand",Translations!$A:$T,MATCH(Cover!DR19,Translations!A2:P2,0),0)</f>
        <v>HW Version</v>
      </c>
      <c r="AI54" s="1476"/>
      <c r="AJ54" s="1476"/>
      <c r="AK54" s="1476"/>
      <c r="AL54" s="1476"/>
      <c r="AM54" s="1476"/>
      <c r="AN54" s="1476" t="str">
        <f>VLOOKUP("HW Stand",Translations!$A:$T,MATCH(Cover!DR19,Translations!A2:P2,0),0)</f>
        <v>HW Version</v>
      </c>
      <c r="AO54" s="1476"/>
      <c r="AP54" s="1476"/>
      <c r="AQ54" s="1476"/>
      <c r="AR54" s="1476"/>
      <c r="AS54" s="1476"/>
      <c r="AT54" s="1476" t="str">
        <f>VLOOKUP("HW Stand",Translations!$A:$T,MATCH(Cover!DR19,Translations!A2:P2,0),0)</f>
        <v>HW Version</v>
      </c>
      <c r="AU54" s="1476"/>
      <c r="AV54" s="1476"/>
      <c r="AW54" s="1476"/>
      <c r="AX54" s="1476"/>
      <c r="AY54" s="1476"/>
      <c r="AZ54" s="1477"/>
    </row>
    <row r="55" spans="1:52" ht="21.95" customHeight="1">
      <c r="A55" s="1499"/>
      <c r="B55" s="1500"/>
      <c r="C55" s="1500"/>
      <c r="D55" s="1500"/>
      <c r="E55" s="1500"/>
      <c r="F55" s="1500"/>
      <c r="G55" s="1500"/>
      <c r="H55" s="1500"/>
      <c r="I55" s="1500"/>
      <c r="J55" s="1500"/>
      <c r="K55" s="1500"/>
      <c r="L55" s="1500"/>
      <c r="M55" s="1500"/>
      <c r="N55" s="1500"/>
      <c r="O55" s="1500"/>
      <c r="P55" s="1476"/>
      <c r="Q55" s="1476"/>
      <c r="R55" s="1476"/>
      <c r="S55" s="1476"/>
      <c r="T55" s="1476"/>
      <c r="U55" s="1476"/>
      <c r="V55" s="1476"/>
      <c r="W55" s="1476"/>
      <c r="X55" s="1476"/>
      <c r="Y55" s="1476"/>
      <c r="Z55" s="1476"/>
      <c r="AA55" s="1476"/>
      <c r="AB55" s="1476"/>
      <c r="AC55" s="1476"/>
      <c r="AD55" s="1476"/>
      <c r="AE55" s="1476"/>
      <c r="AF55" s="1476"/>
      <c r="AG55" s="1476"/>
      <c r="AH55" s="1476"/>
      <c r="AI55" s="1476"/>
      <c r="AJ55" s="1476"/>
      <c r="AK55" s="1476"/>
      <c r="AL55" s="1476"/>
      <c r="AM55" s="1476"/>
      <c r="AN55" s="1476"/>
      <c r="AO55" s="1476"/>
      <c r="AP55" s="1476"/>
      <c r="AQ55" s="1476"/>
      <c r="AR55" s="1476"/>
      <c r="AS55" s="1476"/>
      <c r="AT55" s="1476"/>
      <c r="AU55" s="1476"/>
      <c r="AV55" s="1476"/>
      <c r="AW55" s="1476"/>
      <c r="AX55" s="1476"/>
      <c r="AY55" s="1476"/>
      <c r="AZ55" s="1477"/>
    </row>
    <row r="56" spans="1:52" ht="21.95" customHeight="1">
      <c r="A56" s="1499"/>
      <c r="B56" s="1500"/>
      <c r="C56" s="1500"/>
      <c r="D56" s="1500"/>
      <c r="E56" s="1500"/>
      <c r="F56" s="1500"/>
      <c r="G56" s="1500"/>
      <c r="H56" s="1500"/>
      <c r="I56" s="1500"/>
      <c r="J56" s="1500"/>
      <c r="K56" s="1500"/>
      <c r="L56" s="1500"/>
      <c r="M56" s="1500"/>
      <c r="N56" s="1500"/>
      <c r="O56" s="1500"/>
      <c r="P56" s="1476"/>
      <c r="Q56" s="1476"/>
      <c r="R56" s="1476"/>
      <c r="S56" s="1476"/>
      <c r="T56" s="1476"/>
      <c r="U56" s="1476"/>
      <c r="V56" s="1476"/>
      <c r="W56" s="1476"/>
      <c r="X56" s="1476"/>
      <c r="Y56" s="1476"/>
      <c r="Z56" s="1476"/>
      <c r="AA56" s="1476"/>
      <c r="AB56" s="1476"/>
      <c r="AC56" s="1476"/>
      <c r="AD56" s="1476"/>
      <c r="AE56" s="1476"/>
      <c r="AF56" s="1476"/>
      <c r="AG56" s="1476"/>
      <c r="AH56" s="1476"/>
      <c r="AI56" s="1476"/>
      <c r="AJ56" s="1476"/>
      <c r="AK56" s="1476"/>
      <c r="AL56" s="1476"/>
      <c r="AM56" s="1476"/>
      <c r="AN56" s="1476"/>
      <c r="AO56" s="1476"/>
      <c r="AP56" s="1476"/>
      <c r="AQ56" s="1476"/>
      <c r="AR56" s="1476"/>
      <c r="AS56" s="1476"/>
      <c r="AT56" s="1476"/>
      <c r="AU56" s="1476"/>
      <c r="AV56" s="1476"/>
      <c r="AW56" s="1476"/>
      <c r="AX56" s="1476"/>
      <c r="AY56" s="1476"/>
      <c r="AZ56" s="1477"/>
    </row>
    <row r="57" spans="1:52" ht="13.5" customHeight="1">
      <c r="A57" s="1503"/>
      <c r="B57" s="1504"/>
      <c r="C57" s="1504"/>
      <c r="D57" s="1504"/>
      <c r="E57" s="1504"/>
      <c r="F57" s="1504"/>
      <c r="G57" s="1504"/>
      <c r="H57" s="1504"/>
      <c r="I57" s="1504"/>
      <c r="J57" s="1504"/>
      <c r="K57" s="1504"/>
      <c r="L57" s="1504"/>
      <c r="M57" s="1504"/>
      <c r="N57" s="1504"/>
      <c r="O57" s="1504"/>
      <c r="P57" s="1413"/>
      <c r="Q57" s="1413"/>
      <c r="R57" s="1413"/>
      <c r="S57" s="1413"/>
      <c r="T57" s="1413"/>
      <c r="U57" s="1413"/>
      <c r="V57" s="1413"/>
      <c r="W57" s="1413"/>
      <c r="X57" s="1413"/>
      <c r="Y57" s="1413"/>
      <c r="Z57" s="1413"/>
      <c r="AA57" s="1413"/>
      <c r="AB57" s="1413"/>
      <c r="AC57" s="1413"/>
      <c r="AD57" s="1413"/>
      <c r="AE57" s="1413"/>
      <c r="AF57" s="1413"/>
      <c r="AG57" s="1413"/>
      <c r="AH57" s="1413"/>
      <c r="AI57" s="1413"/>
      <c r="AJ57" s="1413"/>
      <c r="AK57" s="1413"/>
      <c r="AL57" s="1413"/>
      <c r="AM57" s="1413"/>
      <c r="AN57" s="1413"/>
      <c r="AO57" s="1413"/>
      <c r="AP57" s="1413"/>
      <c r="AQ57" s="1413"/>
      <c r="AR57" s="1413"/>
      <c r="AS57" s="1413"/>
      <c r="AT57" s="1413"/>
      <c r="AU57" s="1413"/>
      <c r="AV57" s="1413"/>
      <c r="AW57" s="1413"/>
      <c r="AX57" s="1413"/>
      <c r="AY57" s="1413"/>
      <c r="AZ57" s="1418"/>
    </row>
    <row r="58" spans="1:52" ht="13.5" customHeight="1">
      <c r="A58" s="1503"/>
      <c r="B58" s="1504"/>
      <c r="C58" s="1504"/>
      <c r="D58" s="1504"/>
      <c r="E58" s="1504"/>
      <c r="F58" s="1504"/>
      <c r="G58" s="1504"/>
      <c r="H58" s="1504"/>
      <c r="I58" s="1504"/>
      <c r="J58" s="1504"/>
      <c r="K58" s="1504"/>
      <c r="L58" s="1504"/>
      <c r="M58" s="1504"/>
      <c r="N58" s="1504"/>
      <c r="O58" s="1504"/>
      <c r="P58" s="1413"/>
      <c r="Q58" s="1413"/>
      <c r="R58" s="1413"/>
      <c r="S58" s="1413"/>
      <c r="T58" s="1413"/>
      <c r="U58" s="1413"/>
      <c r="V58" s="1413"/>
      <c r="W58" s="1413"/>
      <c r="X58" s="1413"/>
      <c r="Y58" s="1413"/>
      <c r="Z58" s="1413"/>
      <c r="AA58" s="1413"/>
      <c r="AB58" s="1413"/>
      <c r="AC58" s="1413"/>
      <c r="AD58" s="1413"/>
      <c r="AE58" s="1413"/>
      <c r="AF58" s="1413"/>
      <c r="AG58" s="1413"/>
      <c r="AH58" s="1413"/>
      <c r="AI58" s="1413"/>
      <c r="AJ58" s="1413"/>
      <c r="AK58" s="1413"/>
      <c r="AL58" s="1413"/>
      <c r="AM58" s="1413"/>
      <c r="AN58" s="1413"/>
      <c r="AO58" s="1413"/>
      <c r="AP58" s="1413"/>
      <c r="AQ58" s="1413"/>
      <c r="AR58" s="1413"/>
      <c r="AS58" s="1413"/>
      <c r="AT58" s="1413"/>
      <c r="AU58" s="1413"/>
      <c r="AV58" s="1413"/>
      <c r="AW58" s="1413"/>
      <c r="AX58" s="1413"/>
      <c r="AY58" s="1413"/>
      <c r="AZ58" s="1418"/>
    </row>
    <row r="59" spans="1:52" ht="13.5" customHeight="1">
      <c r="A59" s="1503"/>
      <c r="B59" s="1504"/>
      <c r="C59" s="1504"/>
      <c r="D59" s="1504"/>
      <c r="E59" s="1504"/>
      <c r="F59" s="1504"/>
      <c r="G59" s="1504"/>
      <c r="H59" s="1504"/>
      <c r="I59" s="1504"/>
      <c r="J59" s="1504"/>
      <c r="K59" s="1504"/>
      <c r="L59" s="1504"/>
      <c r="M59" s="1504"/>
      <c r="N59" s="1504"/>
      <c r="O59" s="1504"/>
      <c r="P59" s="1413"/>
      <c r="Q59" s="1413"/>
      <c r="R59" s="1413"/>
      <c r="S59" s="1413"/>
      <c r="T59" s="1413"/>
      <c r="U59" s="1413"/>
      <c r="V59" s="1413"/>
      <c r="W59" s="1413"/>
      <c r="X59" s="1413"/>
      <c r="Y59" s="1413"/>
      <c r="Z59" s="1413"/>
      <c r="AA59" s="1413"/>
      <c r="AB59" s="1413"/>
      <c r="AC59" s="1413"/>
      <c r="AD59" s="1413"/>
      <c r="AE59" s="1413"/>
      <c r="AF59" s="1413"/>
      <c r="AG59" s="1413"/>
      <c r="AH59" s="1413"/>
      <c r="AI59" s="1413"/>
      <c r="AJ59" s="1413"/>
      <c r="AK59" s="1413"/>
      <c r="AL59" s="1413"/>
      <c r="AM59" s="1413"/>
      <c r="AN59" s="1413"/>
      <c r="AO59" s="1413"/>
      <c r="AP59" s="1413"/>
      <c r="AQ59" s="1413"/>
      <c r="AR59" s="1413"/>
      <c r="AS59" s="1413"/>
      <c r="AT59" s="1413"/>
      <c r="AU59" s="1413"/>
      <c r="AV59" s="1413"/>
      <c r="AW59" s="1413"/>
      <c r="AX59" s="1413"/>
      <c r="AY59" s="1413"/>
      <c r="AZ59" s="1418"/>
    </row>
    <row r="60" spans="1:52" ht="13.5" customHeight="1">
      <c r="A60" s="1503"/>
      <c r="B60" s="1504"/>
      <c r="C60" s="1504"/>
      <c r="D60" s="1504"/>
      <c r="E60" s="1504"/>
      <c r="F60" s="1504"/>
      <c r="G60" s="1504"/>
      <c r="H60" s="1504"/>
      <c r="I60" s="1504"/>
      <c r="J60" s="1504"/>
      <c r="K60" s="1504"/>
      <c r="L60" s="1504"/>
      <c r="M60" s="1504"/>
      <c r="N60" s="1504"/>
      <c r="O60" s="1504"/>
      <c r="P60" s="1413"/>
      <c r="Q60" s="1413"/>
      <c r="R60" s="1413"/>
      <c r="S60" s="1413"/>
      <c r="T60" s="1413"/>
      <c r="U60" s="1413"/>
      <c r="V60" s="1413"/>
      <c r="W60" s="1413"/>
      <c r="X60" s="1413"/>
      <c r="Y60" s="1413"/>
      <c r="Z60" s="1413"/>
      <c r="AA60" s="1413"/>
      <c r="AB60" s="1413"/>
      <c r="AC60" s="1413"/>
      <c r="AD60" s="1413"/>
      <c r="AE60" s="1413"/>
      <c r="AF60" s="1413"/>
      <c r="AG60" s="1413"/>
      <c r="AH60" s="1413"/>
      <c r="AI60" s="1413"/>
      <c r="AJ60" s="1413"/>
      <c r="AK60" s="1413"/>
      <c r="AL60" s="1413"/>
      <c r="AM60" s="1413"/>
      <c r="AN60" s="1413"/>
      <c r="AO60" s="1413"/>
      <c r="AP60" s="1413"/>
      <c r="AQ60" s="1413"/>
      <c r="AR60" s="1413"/>
      <c r="AS60" s="1413"/>
      <c r="AT60" s="1413"/>
      <c r="AU60" s="1413"/>
      <c r="AV60" s="1413"/>
      <c r="AW60" s="1413"/>
      <c r="AX60" s="1413"/>
      <c r="AY60" s="1413"/>
      <c r="AZ60" s="1418"/>
    </row>
    <row r="61" spans="1:52" ht="13.5" customHeight="1">
      <c r="A61" s="1503"/>
      <c r="B61" s="1504"/>
      <c r="C61" s="1504"/>
      <c r="D61" s="1504"/>
      <c r="E61" s="1504"/>
      <c r="F61" s="1504"/>
      <c r="G61" s="1504"/>
      <c r="H61" s="1504"/>
      <c r="I61" s="1504"/>
      <c r="J61" s="1504"/>
      <c r="K61" s="1504"/>
      <c r="L61" s="1504"/>
      <c r="M61" s="1504"/>
      <c r="N61" s="1504"/>
      <c r="O61" s="1504"/>
      <c r="P61" s="1413"/>
      <c r="Q61" s="1413"/>
      <c r="R61" s="1413"/>
      <c r="S61" s="1413"/>
      <c r="T61" s="1413"/>
      <c r="U61" s="1413"/>
      <c r="V61" s="1413"/>
      <c r="W61" s="1413"/>
      <c r="X61" s="1413"/>
      <c r="Y61" s="1413"/>
      <c r="Z61" s="1413"/>
      <c r="AA61" s="1413"/>
      <c r="AB61" s="1413"/>
      <c r="AC61" s="1413"/>
      <c r="AD61" s="1413"/>
      <c r="AE61" s="1413"/>
      <c r="AF61" s="1413"/>
      <c r="AG61" s="1413"/>
      <c r="AH61" s="1413"/>
      <c r="AI61" s="1413"/>
      <c r="AJ61" s="1413"/>
      <c r="AK61" s="1413"/>
      <c r="AL61" s="1413"/>
      <c r="AM61" s="1413"/>
      <c r="AN61" s="1413"/>
      <c r="AO61" s="1413"/>
      <c r="AP61" s="1413"/>
      <c r="AQ61" s="1413"/>
      <c r="AR61" s="1413"/>
      <c r="AS61" s="1413"/>
      <c r="AT61" s="1413"/>
      <c r="AU61" s="1413"/>
      <c r="AV61" s="1413"/>
      <c r="AW61" s="1413"/>
      <c r="AX61" s="1413"/>
      <c r="AY61" s="1413"/>
      <c r="AZ61" s="1418"/>
    </row>
    <row r="62" spans="1:52" ht="13.5" customHeight="1">
      <c r="A62" s="1503"/>
      <c r="B62" s="1504"/>
      <c r="C62" s="1504"/>
      <c r="D62" s="1504"/>
      <c r="E62" s="1504"/>
      <c r="F62" s="1504"/>
      <c r="G62" s="1504"/>
      <c r="H62" s="1504"/>
      <c r="I62" s="1504"/>
      <c r="J62" s="1504"/>
      <c r="K62" s="1504"/>
      <c r="L62" s="1504"/>
      <c r="M62" s="1504"/>
      <c r="N62" s="1504"/>
      <c r="O62" s="1504"/>
      <c r="P62" s="1413"/>
      <c r="Q62" s="1413"/>
      <c r="R62" s="1413"/>
      <c r="S62" s="1413"/>
      <c r="T62" s="1413"/>
      <c r="U62" s="1413"/>
      <c r="V62" s="1413"/>
      <c r="W62" s="1413"/>
      <c r="X62" s="1413"/>
      <c r="Y62" s="1413"/>
      <c r="Z62" s="1413"/>
      <c r="AA62" s="1413"/>
      <c r="AB62" s="1413"/>
      <c r="AC62" s="1413"/>
      <c r="AD62" s="1413"/>
      <c r="AE62" s="1413"/>
      <c r="AF62" s="1413"/>
      <c r="AG62" s="1413"/>
      <c r="AH62" s="1413"/>
      <c r="AI62" s="1413"/>
      <c r="AJ62" s="1413"/>
      <c r="AK62" s="1413"/>
      <c r="AL62" s="1413"/>
      <c r="AM62" s="1413"/>
      <c r="AN62" s="1413"/>
      <c r="AO62" s="1413"/>
      <c r="AP62" s="1413"/>
      <c r="AQ62" s="1413"/>
      <c r="AR62" s="1413"/>
      <c r="AS62" s="1413"/>
      <c r="AT62" s="1413"/>
      <c r="AU62" s="1413"/>
      <c r="AV62" s="1413"/>
      <c r="AW62" s="1413"/>
      <c r="AX62" s="1413"/>
      <c r="AY62" s="1413"/>
      <c r="AZ62" s="1418"/>
    </row>
    <row r="63" spans="1:52" ht="13.5" customHeight="1">
      <c r="A63" s="1503"/>
      <c r="B63" s="1504"/>
      <c r="C63" s="1504"/>
      <c r="D63" s="1504"/>
      <c r="E63" s="1504"/>
      <c r="F63" s="1504"/>
      <c r="G63" s="1504"/>
      <c r="H63" s="1504"/>
      <c r="I63" s="1504"/>
      <c r="J63" s="1504"/>
      <c r="K63" s="1504"/>
      <c r="L63" s="1504"/>
      <c r="M63" s="1504"/>
      <c r="N63" s="1504"/>
      <c r="O63" s="1504"/>
      <c r="P63" s="1413"/>
      <c r="Q63" s="1413"/>
      <c r="R63" s="1413"/>
      <c r="S63" s="1413"/>
      <c r="T63" s="1413"/>
      <c r="U63" s="1413"/>
      <c r="V63" s="1413"/>
      <c r="W63" s="1413"/>
      <c r="X63" s="1413"/>
      <c r="Y63" s="1413"/>
      <c r="Z63" s="1413"/>
      <c r="AA63" s="1413"/>
      <c r="AB63" s="1413"/>
      <c r="AC63" s="1413"/>
      <c r="AD63" s="1413"/>
      <c r="AE63" s="1413"/>
      <c r="AF63" s="1413"/>
      <c r="AG63" s="1413"/>
      <c r="AH63" s="1413"/>
      <c r="AI63" s="1413"/>
      <c r="AJ63" s="1413"/>
      <c r="AK63" s="1413"/>
      <c r="AL63" s="1413"/>
      <c r="AM63" s="1413"/>
      <c r="AN63" s="1413"/>
      <c r="AO63" s="1413"/>
      <c r="AP63" s="1413"/>
      <c r="AQ63" s="1413"/>
      <c r="AR63" s="1413"/>
      <c r="AS63" s="1413"/>
      <c r="AT63" s="1413"/>
      <c r="AU63" s="1413"/>
      <c r="AV63" s="1413"/>
      <c r="AW63" s="1413"/>
      <c r="AX63" s="1413"/>
      <c r="AY63" s="1413"/>
      <c r="AZ63" s="1418"/>
    </row>
    <row r="64" spans="1:52" ht="13.5" customHeight="1">
      <c r="A64" s="1503"/>
      <c r="B64" s="1504"/>
      <c r="C64" s="1504"/>
      <c r="D64" s="1504"/>
      <c r="E64" s="1504"/>
      <c r="F64" s="1504"/>
      <c r="G64" s="1504"/>
      <c r="H64" s="1504"/>
      <c r="I64" s="1504"/>
      <c r="J64" s="1504"/>
      <c r="K64" s="1504"/>
      <c r="L64" s="1504"/>
      <c r="M64" s="1504"/>
      <c r="N64" s="1504"/>
      <c r="O64" s="1504"/>
      <c r="P64" s="1413"/>
      <c r="Q64" s="1413"/>
      <c r="R64" s="1413"/>
      <c r="S64" s="1413"/>
      <c r="T64" s="1413"/>
      <c r="U64" s="1413"/>
      <c r="V64" s="1413"/>
      <c r="W64" s="1413"/>
      <c r="X64" s="1413"/>
      <c r="Y64" s="1413"/>
      <c r="Z64" s="1413"/>
      <c r="AA64" s="1413"/>
      <c r="AB64" s="1413"/>
      <c r="AC64" s="1413"/>
      <c r="AD64" s="1413"/>
      <c r="AE64" s="1413"/>
      <c r="AF64" s="1413"/>
      <c r="AG64" s="1413"/>
      <c r="AH64" s="1413"/>
      <c r="AI64" s="1413"/>
      <c r="AJ64" s="1413"/>
      <c r="AK64" s="1413"/>
      <c r="AL64" s="1413"/>
      <c r="AM64" s="1413"/>
      <c r="AN64" s="1413"/>
      <c r="AO64" s="1413"/>
      <c r="AP64" s="1413"/>
      <c r="AQ64" s="1413"/>
      <c r="AR64" s="1413"/>
      <c r="AS64" s="1413"/>
      <c r="AT64" s="1413"/>
      <c r="AU64" s="1413"/>
      <c r="AV64" s="1413"/>
      <c r="AW64" s="1413"/>
      <c r="AX64" s="1413"/>
      <c r="AY64" s="1413"/>
      <c r="AZ64" s="1418"/>
    </row>
    <row r="65" spans="1:52" ht="13.5" customHeight="1">
      <c r="A65" s="1503"/>
      <c r="B65" s="1504"/>
      <c r="C65" s="1504"/>
      <c r="D65" s="1504"/>
      <c r="E65" s="1504"/>
      <c r="F65" s="1504"/>
      <c r="G65" s="1504"/>
      <c r="H65" s="1504"/>
      <c r="I65" s="1504"/>
      <c r="J65" s="1504"/>
      <c r="K65" s="1504"/>
      <c r="L65" s="1504"/>
      <c r="M65" s="1504"/>
      <c r="N65" s="1504"/>
      <c r="O65" s="1504"/>
      <c r="P65" s="1413"/>
      <c r="Q65" s="1413"/>
      <c r="R65" s="1413"/>
      <c r="S65" s="1413"/>
      <c r="T65" s="1413"/>
      <c r="U65" s="1413"/>
      <c r="V65" s="1413"/>
      <c r="W65" s="1413"/>
      <c r="X65" s="1413"/>
      <c r="Y65" s="1413"/>
      <c r="Z65" s="1413"/>
      <c r="AA65" s="1413"/>
      <c r="AB65" s="1413"/>
      <c r="AC65" s="1413"/>
      <c r="AD65" s="1413"/>
      <c r="AE65" s="1413"/>
      <c r="AF65" s="1413"/>
      <c r="AG65" s="1413"/>
      <c r="AH65" s="1413"/>
      <c r="AI65" s="1413"/>
      <c r="AJ65" s="1413"/>
      <c r="AK65" s="1413"/>
      <c r="AL65" s="1413"/>
      <c r="AM65" s="1413"/>
      <c r="AN65" s="1413"/>
      <c r="AO65" s="1413"/>
      <c r="AP65" s="1413"/>
      <c r="AQ65" s="1413"/>
      <c r="AR65" s="1413"/>
      <c r="AS65" s="1413"/>
      <c r="AT65" s="1413"/>
      <c r="AU65" s="1413"/>
      <c r="AV65" s="1413"/>
      <c r="AW65" s="1413"/>
      <c r="AX65" s="1413"/>
      <c r="AY65" s="1413"/>
      <c r="AZ65" s="1418"/>
    </row>
    <row r="66" spans="1:52" ht="13.5" customHeight="1">
      <c r="A66" s="1503"/>
      <c r="B66" s="1504"/>
      <c r="C66" s="1504"/>
      <c r="D66" s="1504"/>
      <c r="E66" s="1504"/>
      <c r="F66" s="1504"/>
      <c r="G66" s="1504"/>
      <c r="H66" s="1504"/>
      <c r="I66" s="1504"/>
      <c r="J66" s="1504"/>
      <c r="K66" s="1504"/>
      <c r="L66" s="1504"/>
      <c r="M66" s="1504"/>
      <c r="N66" s="1504"/>
      <c r="O66" s="1504"/>
      <c r="P66" s="1413"/>
      <c r="Q66" s="1413"/>
      <c r="R66" s="1413"/>
      <c r="S66" s="1413"/>
      <c r="T66" s="1413"/>
      <c r="U66" s="1413"/>
      <c r="V66" s="1413"/>
      <c r="W66" s="1413"/>
      <c r="X66" s="1413"/>
      <c r="Y66" s="1413"/>
      <c r="Z66" s="1413"/>
      <c r="AA66" s="1413"/>
      <c r="AB66" s="1413"/>
      <c r="AC66" s="1413"/>
      <c r="AD66" s="1413"/>
      <c r="AE66" s="1413"/>
      <c r="AF66" s="1413"/>
      <c r="AG66" s="1413"/>
      <c r="AH66" s="1413"/>
      <c r="AI66" s="1413"/>
      <c r="AJ66" s="1413"/>
      <c r="AK66" s="1413"/>
      <c r="AL66" s="1413"/>
      <c r="AM66" s="1413"/>
      <c r="AN66" s="1413"/>
      <c r="AO66" s="1413"/>
      <c r="AP66" s="1413"/>
      <c r="AQ66" s="1413"/>
      <c r="AR66" s="1413"/>
      <c r="AS66" s="1413"/>
      <c r="AT66" s="1413"/>
      <c r="AU66" s="1413"/>
      <c r="AV66" s="1413"/>
      <c r="AW66" s="1413"/>
      <c r="AX66" s="1413"/>
      <c r="AY66" s="1413"/>
      <c r="AZ66" s="1418"/>
    </row>
    <row r="67" spans="1:52" ht="13.5" customHeight="1">
      <c r="A67" s="1503"/>
      <c r="B67" s="1504"/>
      <c r="C67" s="1504"/>
      <c r="D67" s="1504"/>
      <c r="E67" s="1504"/>
      <c r="F67" s="1504"/>
      <c r="G67" s="1504"/>
      <c r="H67" s="1504"/>
      <c r="I67" s="1504"/>
      <c r="J67" s="1504"/>
      <c r="K67" s="1504"/>
      <c r="L67" s="1504"/>
      <c r="M67" s="1504"/>
      <c r="N67" s="1504"/>
      <c r="O67" s="1504"/>
      <c r="P67" s="1413"/>
      <c r="Q67" s="1413"/>
      <c r="R67" s="1413"/>
      <c r="S67" s="1413"/>
      <c r="T67" s="1413"/>
      <c r="U67" s="1413"/>
      <c r="V67" s="1413"/>
      <c r="W67" s="1413"/>
      <c r="X67" s="1413"/>
      <c r="Y67" s="1413"/>
      <c r="Z67" s="1413"/>
      <c r="AA67" s="1413"/>
      <c r="AB67" s="1413"/>
      <c r="AC67" s="1413"/>
      <c r="AD67" s="1413"/>
      <c r="AE67" s="1413"/>
      <c r="AF67" s="1413"/>
      <c r="AG67" s="1413"/>
      <c r="AH67" s="1413"/>
      <c r="AI67" s="1413"/>
      <c r="AJ67" s="1413"/>
      <c r="AK67" s="1413"/>
      <c r="AL67" s="1413"/>
      <c r="AM67" s="1413"/>
      <c r="AN67" s="1413"/>
      <c r="AO67" s="1413"/>
      <c r="AP67" s="1413"/>
      <c r="AQ67" s="1413"/>
      <c r="AR67" s="1413"/>
      <c r="AS67" s="1413"/>
      <c r="AT67" s="1413"/>
      <c r="AU67" s="1413"/>
      <c r="AV67" s="1413"/>
      <c r="AW67" s="1413"/>
      <c r="AX67" s="1413"/>
      <c r="AY67" s="1413"/>
      <c r="AZ67" s="1418"/>
    </row>
    <row r="68" spans="1:52" ht="13.5" customHeight="1">
      <c r="A68" s="1503"/>
      <c r="B68" s="1504"/>
      <c r="C68" s="1504"/>
      <c r="D68" s="1504"/>
      <c r="E68" s="1504"/>
      <c r="F68" s="1504"/>
      <c r="G68" s="1504"/>
      <c r="H68" s="1504"/>
      <c r="I68" s="1504"/>
      <c r="J68" s="1504"/>
      <c r="K68" s="1504"/>
      <c r="L68" s="1504"/>
      <c r="M68" s="1504"/>
      <c r="N68" s="1504"/>
      <c r="O68" s="1504"/>
      <c r="P68" s="1413"/>
      <c r="Q68" s="1413"/>
      <c r="R68" s="1413"/>
      <c r="S68" s="1413"/>
      <c r="T68" s="1413"/>
      <c r="U68" s="1413"/>
      <c r="V68" s="1413"/>
      <c r="W68" s="1413"/>
      <c r="X68" s="1413"/>
      <c r="Y68" s="1413"/>
      <c r="Z68" s="1413"/>
      <c r="AA68" s="1413"/>
      <c r="AB68" s="1413"/>
      <c r="AC68" s="1413"/>
      <c r="AD68" s="1413"/>
      <c r="AE68" s="1413"/>
      <c r="AF68" s="1413"/>
      <c r="AG68" s="1413"/>
      <c r="AH68" s="1413"/>
      <c r="AI68" s="1413"/>
      <c r="AJ68" s="1413"/>
      <c r="AK68" s="1413"/>
      <c r="AL68" s="1413"/>
      <c r="AM68" s="1413"/>
      <c r="AN68" s="1413"/>
      <c r="AO68" s="1413"/>
      <c r="AP68" s="1413"/>
      <c r="AQ68" s="1413"/>
      <c r="AR68" s="1413"/>
      <c r="AS68" s="1413"/>
      <c r="AT68" s="1413"/>
      <c r="AU68" s="1413"/>
      <c r="AV68" s="1413"/>
      <c r="AW68" s="1413"/>
      <c r="AX68" s="1413"/>
      <c r="AY68" s="1413"/>
      <c r="AZ68" s="1418"/>
    </row>
    <row r="69" spans="1:52" ht="13.5" customHeight="1">
      <c r="A69" s="1503"/>
      <c r="B69" s="1504"/>
      <c r="C69" s="1504"/>
      <c r="D69" s="1504"/>
      <c r="E69" s="1504"/>
      <c r="F69" s="1504"/>
      <c r="G69" s="1504"/>
      <c r="H69" s="1504"/>
      <c r="I69" s="1504"/>
      <c r="J69" s="1504"/>
      <c r="K69" s="1504"/>
      <c r="L69" s="1504"/>
      <c r="M69" s="1504"/>
      <c r="N69" s="1504"/>
      <c r="O69" s="1504"/>
      <c r="P69" s="1413"/>
      <c r="Q69" s="1413"/>
      <c r="R69" s="1413"/>
      <c r="S69" s="1413"/>
      <c r="T69" s="1413"/>
      <c r="U69" s="1413"/>
      <c r="V69" s="1413"/>
      <c r="W69" s="1413"/>
      <c r="X69" s="1413"/>
      <c r="Y69" s="1413"/>
      <c r="Z69" s="1413"/>
      <c r="AA69" s="1413"/>
      <c r="AB69" s="1413"/>
      <c r="AC69" s="1413"/>
      <c r="AD69" s="1413"/>
      <c r="AE69" s="1413"/>
      <c r="AF69" s="1413"/>
      <c r="AG69" s="1413"/>
      <c r="AH69" s="1413"/>
      <c r="AI69" s="1413"/>
      <c r="AJ69" s="1413"/>
      <c r="AK69" s="1413"/>
      <c r="AL69" s="1413"/>
      <c r="AM69" s="1413"/>
      <c r="AN69" s="1413"/>
      <c r="AO69" s="1413"/>
      <c r="AP69" s="1413"/>
      <c r="AQ69" s="1413"/>
      <c r="AR69" s="1413"/>
      <c r="AS69" s="1413"/>
      <c r="AT69" s="1413"/>
      <c r="AU69" s="1413"/>
      <c r="AV69" s="1413"/>
      <c r="AW69" s="1413"/>
      <c r="AX69" s="1413"/>
      <c r="AY69" s="1413"/>
      <c r="AZ69" s="1418"/>
    </row>
    <row r="70" spans="1:52" ht="13.5" customHeight="1">
      <c r="A70" s="1503"/>
      <c r="B70" s="1504"/>
      <c r="C70" s="1504"/>
      <c r="D70" s="1504"/>
      <c r="E70" s="1504"/>
      <c r="F70" s="1504"/>
      <c r="G70" s="1504"/>
      <c r="H70" s="1504"/>
      <c r="I70" s="1504"/>
      <c r="J70" s="1504"/>
      <c r="K70" s="1504"/>
      <c r="L70" s="1504"/>
      <c r="M70" s="1504"/>
      <c r="N70" s="1504"/>
      <c r="O70" s="1504"/>
      <c r="P70" s="1413"/>
      <c r="Q70" s="1413"/>
      <c r="R70" s="1413"/>
      <c r="S70" s="1413"/>
      <c r="T70" s="1413"/>
      <c r="U70" s="1413"/>
      <c r="V70" s="1413"/>
      <c r="W70" s="1413"/>
      <c r="X70" s="1413"/>
      <c r="Y70" s="1413"/>
      <c r="Z70" s="1413"/>
      <c r="AA70" s="1413"/>
      <c r="AB70" s="1413"/>
      <c r="AC70" s="1413"/>
      <c r="AD70" s="1413"/>
      <c r="AE70" s="1413"/>
      <c r="AF70" s="1413"/>
      <c r="AG70" s="1413"/>
      <c r="AH70" s="1413"/>
      <c r="AI70" s="1413"/>
      <c r="AJ70" s="1413"/>
      <c r="AK70" s="1413"/>
      <c r="AL70" s="1413"/>
      <c r="AM70" s="1413"/>
      <c r="AN70" s="1413"/>
      <c r="AO70" s="1413"/>
      <c r="AP70" s="1413"/>
      <c r="AQ70" s="1413"/>
      <c r="AR70" s="1413"/>
      <c r="AS70" s="1413"/>
      <c r="AT70" s="1413"/>
      <c r="AU70" s="1413"/>
      <c r="AV70" s="1413"/>
      <c r="AW70" s="1413"/>
      <c r="AX70" s="1413"/>
      <c r="AY70" s="1413"/>
      <c r="AZ70" s="1418"/>
    </row>
    <row r="71" spans="1:52" ht="13.5" customHeight="1" thickBot="1">
      <c r="A71" s="1505"/>
      <c r="B71" s="1506"/>
      <c r="C71" s="1506"/>
      <c r="D71" s="1506"/>
      <c r="E71" s="1506"/>
      <c r="F71" s="1506"/>
      <c r="G71" s="1506"/>
      <c r="H71" s="1506"/>
      <c r="I71" s="1506"/>
      <c r="J71" s="1506"/>
      <c r="K71" s="1506"/>
      <c r="L71" s="1506"/>
      <c r="M71" s="1506"/>
      <c r="N71" s="1506"/>
      <c r="O71" s="1506"/>
      <c r="P71" s="1453"/>
      <c r="Q71" s="1453"/>
      <c r="R71" s="1453"/>
      <c r="S71" s="1453"/>
      <c r="T71" s="1453"/>
      <c r="U71" s="1453"/>
      <c r="V71" s="1453"/>
      <c r="W71" s="1453"/>
      <c r="X71" s="1453"/>
      <c r="Y71" s="1453"/>
      <c r="Z71" s="1453"/>
      <c r="AA71" s="1453"/>
      <c r="AB71" s="1453"/>
      <c r="AC71" s="1453"/>
      <c r="AD71" s="1453"/>
      <c r="AE71" s="1453"/>
      <c r="AF71" s="1453"/>
      <c r="AG71" s="1453"/>
      <c r="AH71" s="1453"/>
      <c r="AI71" s="1453"/>
      <c r="AJ71" s="1453"/>
      <c r="AK71" s="1453"/>
      <c r="AL71" s="1453"/>
      <c r="AM71" s="1453"/>
      <c r="AN71" s="1453"/>
      <c r="AO71" s="1453"/>
      <c r="AP71" s="1453"/>
      <c r="AQ71" s="1453"/>
      <c r="AR71" s="1453"/>
      <c r="AS71" s="1453"/>
      <c r="AT71" s="1453"/>
      <c r="AU71" s="1453"/>
      <c r="AV71" s="1453"/>
      <c r="AW71" s="1453"/>
      <c r="AX71" s="1453"/>
      <c r="AY71" s="1453"/>
      <c r="AZ71" s="1502"/>
    </row>
    <row r="72" spans="1:52" ht="15.75" thickBot="1">
      <c r="A72" s="637"/>
      <c r="B72" s="638"/>
      <c r="C72" s="638"/>
      <c r="D72" s="638"/>
      <c r="E72" s="638"/>
      <c r="F72" s="638"/>
      <c r="G72" s="638"/>
      <c r="H72" s="638"/>
      <c r="I72" s="638"/>
      <c r="J72" s="638"/>
      <c r="K72" s="638"/>
      <c r="L72" s="638"/>
      <c r="M72" s="638"/>
      <c r="N72" s="638"/>
      <c r="O72" s="638"/>
      <c r="P72" s="638"/>
      <c r="Q72" s="638"/>
      <c r="R72" s="638"/>
      <c r="S72" s="638"/>
      <c r="T72" s="638"/>
      <c r="U72" s="638"/>
      <c r="V72" s="638"/>
      <c r="W72" s="638"/>
      <c r="X72" s="638"/>
      <c r="Y72" s="638"/>
      <c r="Z72" s="638"/>
      <c r="AA72" s="638"/>
      <c r="AB72" s="638"/>
      <c r="AC72" s="638"/>
      <c r="AD72" s="638"/>
      <c r="AE72" s="638"/>
      <c r="AF72" s="638"/>
      <c r="AG72" s="638"/>
      <c r="AH72" s="638"/>
      <c r="AI72" s="638"/>
      <c r="AJ72" s="638"/>
      <c r="AK72" s="638"/>
      <c r="AL72" s="638"/>
      <c r="AM72" s="638"/>
      <c r="AN72" s="638"/>
      <c r="AO72" s="638"/>
      <c r="AP72" s="638"/>
      <c r="AQ72" s="638"/>
      <c r="AR72" s="638"/>
      <c r="AS72" s="638"/>
      <c r="AT72" s="638"/>
      <c r="AU72" s="638"/>
      <c r="AV72" s="638"/>
      <c r="AW72" s="638"/>
      <c r="AX72" s="638"/>
      <c r="AY72" s="638"/>
      <c r="AZ72" s="639"/>
    </row>
    <row r="73" spans="1:52">
      <c r="A73" s="1493" t="str">
        <f>VLOOKUP("Funktionstests",Translations!$A:$T,MATCH(Cover!DR19,Translations!A2:P2,0),0)</f>
        <v>Function tests</v>
      </c>
      <c r="B73" s="1494"/>
      <c r="C73" s="1494"/>
      <c r="D73" s="1494"/>
      <c r="E73" s="1494"/>
      <c r="F73" s="1494"/>
      <c r="G73" s="1494"/>
      <c r="H73" s="1494"/>
      <c r="I73" s="1494"/>
      <c r="J73" s="1494"/>
      <c r="K73" s="1494"/>
      <c r="L73" s="1494"/>
      <c r="M73" s="1494"/>
      <c r="N73" s="1494"/>
      <c r="O73" s="1494"/>
      <c r="P73" s="1494"/>
      <c r="Q73" s="1494"/>
      <c r="R73" s="1494"/>
      <c r="S73" s="1494"/>
      <c r="T73" s="1494"/>
      <c r="U73" s="1494"/>
      <c r="V73" s="1494"/>
      <c r="W73" s="1494"/>
      <c r="X73" s="1494"/>
      <c r="Y73" s="1494"/>
      <c r="Z73" s="1494"/>
      <c r="AA73" s="1494"/>
      <c r="AB73" s="1494"/>
      <c r="AC73" s="1494"/>
      <c r="AD73" s="1494"/>
      <c r="AE73" s="1494"/>
      <c r="AF73" s="1494"/>
      <c r="AG73" s="1494"/>
      <c r="AH73" s="1494"/>
      <c r="AI73" s="1494"/>
      <c r="AJ73" s="1494"/>
      <c r="AK73" s="1494"/>
      <c r="AL73" s="1494"/>
      <c r="AM73" s="1494"/>
      <c r="AN73" s="1494"/>
      <c r="AO73" s="1494"/>
      <c r="AP73" s="1494"/>
      <c r="AQ73" s="1494"/>
      <c r="AR73" s="1494"/>
      <c r="AS73" s="1494"/>
      <c r="AT73" s="1494"/>
      <c r="AU73" s="1494"/>
      <c r="AV73" s="1494"/>
      <c r="AW73" s="1494"/>
      <c r="AX73" s="1494"/>
      <c r="AY73" s="1494"/>
      <c r="AZ73" s="1495"/>
    </row>
    <row r="74" spans="1:52">
      <c r="A74" s="1496"/>
      <c r="B74" s="1497"/>
      <c r="C74" s="1497"/>
      <c r="D74" s="1497"/>
      <c r="E74" s="1497"/>
      <c r="F74" s="1497"/>
      <c r="G74" s="1497"/>
      <c r="H74" s="1497"/>
      <c r="I74" s="1497"/>
      <c r="J74" s="1497"/>
      <c r="K74" s="1497"/>
      <c r="L74" s="1497"/>
      <c r="M74" s="1497"/>
      <c r="N74" s="1497"/>
      <c r="O74" s="1497"/>
      <c r="P74" s="1497"/>
      <c r="Q74" s="1497"/>
      <c r="R74" s="1497"/>
      <c r="S74" s="1497"/>
      <c r="T74" s="1497"/>
      <c r="U74" s="1497"/>
      <c r="V74" s="1497"/>
      <c r="W74" s="1497"/>
      <c r="X74" s="1497"/>
      <c r="Y74" s="1497"/>
      <c r="Z74" s="1497"/>
      <c r="AA74" s="1497"/>
      <c r="AB74" s="1497"/>
      <c r="AC74" s="1497"/>
      <c r="AD74" s="1497"/>
      <c r="AE74" s="1497"/>
      <c r="AF74" s="1497"/>
      <c r="AG74" s="1497"/>
      <c r="AH74" s="1497"/>
      <c r="AI74" s="1497"/>
      <c r="AJ74" s="1497"/>
      <c r="AK74" s="1497"/>
      <c r="AL74" s="1497"/>
      <c r="AM74" s="1497"/>
      <c r="AN74" s="1497"/>
      <c r="AO74" s="1497"/>
      <c r="AP74" s="1497"/>
      <c r="AQ74" s="1497"/>
      <c r="AR74" s="1497"/>
      <c r="AS74" s="1497"/>
      <c r="AT74" s="1497"/>
      <c r="AU74" s="1497"/>
      <c r="AV74" s="1497"/>
      <c r="AW74" s="1497"/>
      <c r="AX74" s="1497"/>
      <c r="AY74" s="1497"/>
      <c r="AZ74" s="1498"/>
    </row>
    <row r="75" spans="1:52" ht="12.75" customHeight="1">
      <c r="A75" s="1489" t="str">
        <f>VLOOKUP("Geprüft nach Testspezifikation",Translations!$A:$T,MATCH(Cover!DR19,Translations!A2:P2,0),0)</f>
        <v>Tested according to test specification</v>
      </c>
      <c r="B75" s="1490"/>
      <c r="C75" s="1490"/>
      <c r="D75" s="1490"/>
      <c r="E75" s="1490"/>
      <c r="F75" s="1490"/>
      <c r="G75" s="1490"/>
      <c r="H75" s="1490"/>
      <c r="I75" s="1490"/>
      <c r="J75" s="1490"/>
      <c r="K75" s="1490"/>
      <c r="L75" s="1490"/>
      <c r="M75" s="1490"/>
      <c r="N75" s="1490"/>
      <c r="O75" s="1490"/>
      <c r="P75" s="1413"/>
      <c r="Q75" s="1413"/>
      <c r="R75" s="1413"/>
      <c r="S75" s="1413"/>
      <c r="T75" s="1413"/>
      <c r="U75" s="1413"/>
      <c r="V75" s="1413"/>
      <c r="W75" s="1413"/>
      <c r="X75" s="1413"/>
      <c r="Y75" s="1413"/>
      <c r="Z75" s="1413"/>
      <c r="AA75" s="1413"/>
      <c r="AB75" s="1413"/>
      <c r="AC75" s="1413"/>
      <c r="AD75" s="1413"/>
      <c r="AE75" s="1413"/>
      <c r="AF75" s="1413"/>
      <c r="AG75" s="1413"/>
      <c r="AH75" s="1413"/>
      <c r="AI75" s="1413"/>
      <c r="AJ75" s="1413"/>
      <c r="AK75" s="1413"/>
      <c r="AL75" s="1413"/>
      <c r="AM75" s="1413"/>
      <c r="AN75" s="1413"/>
      <c r="AO75" s="1413"/>
      <c r="AP75" s="1413"/>
      <c r="AQ75" s="1413"/>
      <c r="AR75" s="1413"/>
      <c r="AS75" s="1413"/>
      <c r="AT75" s="1413"/>
      <c r="AU75" s="1413"/>
      <c r="AV75" s="1413"/>
      <c r="AW75" s="1413"/>
      <c r="AX75" s="1413"/>
      <c r="AY75" s="1413"/>
      <c r="AZ75" s="1418"/>
    </row>
    <row r="76" spans="1:52" ht="12.75" customHeight="1">
      <c r="A76" s="1489"/>
      <c r="B76" s="1490"/>
      <c r="C76" s="1490"/>
      <c r="D76" s="1490"/>
      <c r="E76" s="1490"/>
      <c r="F76" s="1490"/>
      <c r="G76" s="1490"/>
      <c r="H76" s="1490"/>
      <c r="I76" s="1490"/>
      <c r="J76" s="1490"/>
      <c r="K76" s="1490"/>
      <c r="L76" s="1490"/>
      <c r="M76" s="1490"/>
      <c r="N76" s="1490"/>
      <c r="O76" s="1490"/>
      <c r="P76" s="1413"/>
      <c r="Q76" s="1413"/>
      <c r="R76" s="1413"/>
      <c r="S76" s="1413"/>
      <c r="T76" s="1413"/>
      <c r="U76" s="1413"/>
      <c r="V76" s="1413"/>
      <c r="W76" s="1413"/>
      <c r="X76" s="1413"/>
      <c r="Y76" s="1413"/>
      <c r="Z76" s="1413"/>
      <c r="AA76" s="1413"/>
      <c r="AB76" s="1413"/>
      <c r="AC76" s="1413"/>
      <c r="AD76" s="1413"/>
      <c r="AE76" s="1413"/>
      <c r="AF76" s="1413"/>
      <c r="AG76" s="1413"/>
      <c r="AH76" s="1413"/>
      <c r="AI76" s="1413"/>
      <c r="AJ76" s="1413"/>
      <c r="AK76" s="1413"/>
      <c r="AL76" s="1413"/>
      <c r="AM76" s="1413"/>
      <c r="AN76" s="1413"/>
      <c r="AO76" s="1413"/>
      <c r="AP76" s="1413"/>
      <c r="AQ76" s="1413"/>
      <c r="AR76" s="1413"/>
      <c r="AS76" s="1413"/>
      <c r="AT76" s="1413"/>
      <c r="AU76" s="1413"/>
      <c r="AV76" s="1413"/>
      <c r="AW76" s="1413"/>
      <c r="AX76" s="1413"/>
      <c r="AY76" s="1413"/>
      <c r="AZ76" s="1418"/>
    </row>
    <row r="77" spans="1:52" ht="13.5" customHeight="1">
      <c r="A77" s="1489"/>
      <c r="B77" s="1490"/>
      <c r="C77" s="1490"/>
      <c r="D77" s="1490"/>
      <c r="E77" s="1490"/>
      <c r="F77" s="1490"/>
      <c r="G77" s="1490"/>
      <c r="H77" s="1490"/>
      <c r="I77" s="1490"/>
      <c r="J77" s="1490"/>
      <c r="K77" s="1490"/>
      <c r="L77" s="1490"/>
      <c r="M77" s="1490"/>
      <c r="N77" s="1490"/>
      <c r="O77" s="1490"/>
      <c r="P77" s="1413"/>
      <c r="Q77" s="1413"/>
      <c r="R77" s="1413"/>
      <c r="S77" s="1413"/>
      <c r="T77" s="1413"/>
      <c r="U77" s="1413"/>
      <c r="V77" s="1413"/>
      <c r="W77" s="1413"/>
      <c r="X77" s="1413"/>
      <c r="Y77" s="1413"/>
      <c r="Z77" s="1413"/>
      <c r="AA77" s="1413"/>
      <c r="AB77" s="1413"/>
      <c r="AC77" s="1413"/>
      <c r="AD77" s="1413"/>
      <c r="AE77" s="1413"/>
      <c r="AF77" s="1413"/>
      <c r="AG77" s="1413"/>
      <c r="AH77" s="1413"/>
      <c r="AI77" s="1413"/>
      <c r="AJ77" s="1413"/>
      <c r="AK77" s="1413"/>
      <c r="AL77" s="1413"/>
      <c r="AM77" s="1413"/>
      <c r="AN77" s="1413"/>
      <c r="AO77" s="1413"/>
      <c r="AP77" s="1413"/>
      <c r="AQ77" s="1413"/>
      <c r="AR77" s="1413"/>
      <c r="AS77" s="1413"/>
      <c r="AT77" s="1413"/>
      <c r="AU77" s="1413"/>
      <c r="AV77" s="1413"/>
      <c r="AW77" s="1413"/>
      <c r="AX77" s="1413"/>
      <c r="AY77" s="1413"/>
      <c r="AZ77" s="1418"/>
    </row>
    <row r="78" spans="1:52" ht="12.75" customHeight="1">
      <c r="A78" s="1489" t="str">
        <f>VLOOKUP("Alle Testsequenzen bestanden?",Translations!$A:$T,MATCH(Cover!DR19,Translations!A2:P2,0),0)</f>
        <v>All test sequences successful?</v>
      </c>
      <c r="B78" s="1490"/>
      <c r="C78" s="1490"/>
      <c r="D78" s="1490"/>
      <c r="E78" s="1490"/>
      <c r="F78" s="1490"/>
      <c r="G78" s="1490"/>
      <c r="H78" s="1490"/>
      <c r="I78" s="1490"/>
      <c r="J78" s="1490"/>
      <c r="K78" s="1490"/>
      <c r="L78" s="1490"/>
      <c r="M78" s="1490"/>
      <c r="N78" s="1490"/>
      <c r="O78" s="1490"/>
      <c r="P78" s="1501" t="str">
        <f>VLOOKUP("Ja",Translations!$A:$T,MATCH(Cover!DR19,Translations!A2:P2,0),0)</f>
        <v>Yes</v>
      </c>
      <c r="Q78" s="1501"/>
      <c r="R78" s="1413"/>
      <c r="S78" s="1413"/>
      <c r="T78" s="1413"/>
      <c r="U78" s="1413"/>
      <c r="V78" s="1413"/>
      <c r="W78" s="1413"/>
      <c r="X78" s="1413"/>
      <c r="Y78" s="1413"/>
      <c r="Z78" s="1413"/>
      <c r="AA78" s="1413"/>
      <c r="AB78" s="1413"/>
      <c r="AC78" s="1413"/>
      <c r="AD78" s="1413"/>
      <c r="AE78" s="1413"/>
      <c r="AF78" s="1413"/>
      <c r="AG78" s="1413"/>
      <c r="AH78" s="1413"/>
      <c r="AI78" s="1501" t="str">
        <f>VLOOKUP("Nein",Translations!$A:$T,MATCH(Cover!DR19,Translations!A2:P2,0),0)</f>
        <v>No</v>
      </c>
      <c r="AJ78" s="1501"/>
      <c r="AK78" s="1413"/>
      <c r="AL78" s="1413"/>
      <c r="AM78" s="1413"/>
      <c r="AN78" s="1413"/>
      <c r="AO78" s="1413"/>
      <c r="AP78" s="1413"/>
      <c r="AQ78" s="1413"/>
      <c r="AR78" s="1413"/>
      <c r="AS78" s="1413"/>
      <c r="AT78" s="1413"/>
      <c r="AU78" s="1413"/>
      <c r="AV78" s="1413"/>
      <c r="AW78" s="1413"/>
      <c r="AX78" s="1413"/>
      <c r="AY78" s="1413"/>
      <c r="AZ78" s="1418"/>
    </row>
    <row r="79" spans="1:52" ht="12.75" customHeight="1">
      <c r="A79" s="1489"/>
      <c r="B79" s="1490"/>
      <c r="C79" s="1490"/>
      <c r="D79" s="1490"/>
      <c r="E79" s="1490"/>
      <c r="F79" s="1490"/>
      <c r="G79" s="1490"/>
      <c r="H79" s="1490"/>
      <c r="I79" s="1490"/>
      <c r="J79" s="1490"/>
      <c r="K79" s="1490"/>
      <c r="L79" s="1490"/>
      <c r="M79" s="1490"/>
      <c r="N79" s="1490"/>
      <c r="O79" s="1490"/>
      <c r="P79" s="1501"/>
      <c r="Q79" s="1501"/>
      <c r="R79" s="1413"/>
      <c r="S79" s="1413"/>
      <c r="T79" s="1413"/>
      <c r="U79" s="1413"/>
      <c r="V79" s="1413"/>
      <c r="W79" s="1413"/>
      <c r="X79" s="1413"/>
      <c r="Y79" s="1413"/>
      <c r="Z79" s="1413"/>
      <c r="AA79" s="1413"/>
      <c r="AB79" s="1413"/>
      <c r="AC79" s="1413"/>
      <c r="AD79" s="1413"/>
      <c r="AE79" s="1413"/>
      <c r="AF79" s="1413"/>
      <c r="AG79" s="1413"/>
      <c r="AH79" s="1413"/>
      <c r="AI79" s="1501"/>
      <c r="AJ79" s="1501"/>
      <c r="AK79" s="1413"/>
      <c r="AL79" s="1413"/>
      <c r="AM79" s="1413"/>
      <c r="AN79" s="1413"/>
      <c r="AO79" s="1413"/>
      <c r="AP79" s="1413"/>
      <c r="AQ79" s="1413"/>
      <c r="AR79" s="1413"/>
      <c r="AS79" s="1413"/>
      <c r="AT79" s="1413"/>
      <c r="AU79" s="1413"/>
      <c r="AV79" s="1413"/>
      <c r="AW79" s="1413"/>
      <c r="AX79" s="1413"/>
      <c r="AY79" s="1413"/>
      <c r="AZ79" s="1418"/>
    </row>
    <row r="80" spans="1:52" ht="13.5" customHeight="1">
      <c r="A80" s="1489"/>
      <c r="B80" s="1490"/>
      <c r="C80" s="1490"/>
      <c r="D80" s="1490"/>
      <c r="E80" s="1490"/>
      <c r="F80" s="1490"/>
      <c r="G80" s="1490"/>
      <c r="H80" s="1490"/>
      <c r="I80" s="1490"/>
      <c r="J80" s="1490"/>
      <c r="K80" s="1490"/>
      <c r="L80" s="1490"/>
      <c r="M80" s="1490"/>
      <c r="N80" s="1490"/>
      <c r="O80" s="1490"/>
      <c r="P80" s="1501"/>
      <c r="Q80" s="1501"/>
      <c r="R80" s="1413"/>
      <c r="S80" s="1413"/>
      <c r="T80" s="1413"/>
      <c r="U80" s="1413"/>
      <c r="V80" s="1413"/>
      <c r="W80" s="1413"/>
      <c r="X80" s="1413"/>
      <c r="Y80" s="1413"/>
      <c r="Z80" s="1413"/>
      <c r="AA80" s="1413"/>
      <c r="AB80" s="1413"/>
      <c r="AC80" s="1413"/>
      <c r="AD80" s="1413"/>
      <c r="AE80" s="1413"/>
      <c r="AF80" s="1413"/>
      <c r="AG80" s="1413"/>
      <c r="AH80" s="1413"/>
      <c r="AI80" s="1501"/>
      <c r="AJ80" s="1501"/>
      <c r="AK80" s="1413"/>
      <c r="AL80" s="1413"/>
      <c r="AM80" s="1413"/>
      <c r="AN80" s="1413"/>
      <c r="AO80" s="1413"/>
      <c r="AP80" s="1413"/>
      <c r="AQ80" s="1413"/>
      <c r="AR80" s="1413"/>
      <c r="AS80" s="1413"/>
      <c r="AT80" s="1413"/>
      <c r="AU80" s="1413"/>
      <c r="AV80" s="1413"/>
      <c r="AW80" s="1413"/>
      <c r="AX80" s="1413"/>
      <c r="AY80" s="1413"/>
      <c r="AZ80" s="1418"/>
    </row>
    <row r="81" spans="1:52" ht="12.75" customHeight="1">
      <c r="A81" s="1499" t="str">
        <f>VLOOKUP("Welche Prüfsequenz wurde nicht bestanden?",Translations!$A:$T,MATCH(Cover!DR19,Translations!A2:P2,0),0)</f>
        <v>Which test sequence was not successful?</v>
      </c>
      <c r="B81" s="1500"/>
      <c r="C81" s="1500"/>
      <c r="D81" s="1500"/>
      <c r="E81" s="1500"/>
      <c r="F81" s="1500"/>
      <c r="G81" s="1500"/>
      <c r="H81" s="1500"/>
      <c r="I81" s="1500"/>
      <c r="J81" s="1500"/>
      <c r="K81" s="1500"/>
      <c r="L81" s="1500"/>
      <c r="M81" s="1500"/>
      <c r="N81" s="1500"/>
      <c r="O81" s="1500"/>
      <c r="P81" s="1490" t="s">
        <v>141</v>
      </c>
      <c r="Q81" s="1490"/>
      <c r="R81" s="1413"/>
      <c r="S81" s="1413"/>
      <c r="T81" s="1413"/>
      <c r="U81" s="1413"/>
      <c r="V81" s="1413"/>
      <c r="W81" s="1413"/>
      <c r="X81" s="1413"/>
      <c r="Y81" s="1413"/>
      <c r="Z81" s="1413"/>
      <c r="AA81" s="1413"/>
      <c r="AB81" s="1413"/>
      <c r="AC81" s="1413"/>
      <c r="AD81" s="1413"/>
      <c r="AE81" s="1413"/>
      <c r="AF81" s="1413"/>
      <c r="AG81" s="1413"/>
      <c r="AH81" s="1413"/>
      <c r="AI81" s="1413"/>
      <c r="AJ81" s="1413"/>
      <c r="AK81" s="1413"/>
      <c r="AL81" s="1413"/>
      <c r="AM81" s="1413"/>
      <c r="AN81" s="1413"/>
      <c r="AO81" s="1413"/>
      <c r="AP81" s="1413"/>
      <c r="AQ81" s="1413"/>
      <c r="AR81" s="1413"/>
      <c r="AS81" s="1413"/>
      <c r="AT81" s="1413"/>
      <c r="AU81" s="1413"/>
      <c r="AV81" s="1413"/>
      <c r="AW81" s="1413"/>
      <c r="AX81" s="1413"/>
      <c r="AY81" s="1413"/>
      <c r="AZ81" s="1418"/>
    </row>
    <row r="82" spans="1:52" ht="12.75" customHeight="1">
      <c r="A82" s="1499"/>
      <c r="B82" s="1500"/>
      <c r="C82" s="1500"/>
      <c r="D82" s="1500"/>
      <c r="E82" s="1500"/>
      <c r="F82" s="1500"/>
      <c r="G82" s="1500"/>
      <c r="H82" s="1500"/>
      <c r="I82" s="1500"/>
      <c r="J82" s="1500"/>
      <c r="K82" s="1500"/>
      <c r="L82" s="1500"/>
      <c r="M82" s="1500"/>
      <c r="N82" s="1500"/>
      <c r="O82" s="1500"/>
      <c r="P82" s="1490"/>
      <c r="Q82" s="1490"/>
      <c r="R82" s="1413"/>
      <c r="S82" s="1413"/>
      <c r="T82" s="1413"/>
      <c r="U82" s="1413"/>
      <c r="V82" s="1413"/>
      <c r="W82" s="1413"/>
      <c r="X82" s="1413"/>
      <c r="Y82" s="1413"/>
      <c r="Z82" s="1413"/>
      <c r="AA82" s="1413"/>
      <c r="AB82" s="1413"/>
      <c r="AC82" s="1413"/>
      <c r="AD82" s="1413"/>
      <c r="AE82" s="1413"/>
      <c r="AF82" s="1413"/>
      <c r="AG82" s="1413"/>
      <c r="AH82" s="1413"/>
      <c r="AI82" s="1413"/>
      <c r="AJ82" s="1413"/>
      <c r="AK82" s="1413"/>
      <c r="AL82" s="1413"/>
      <c r="AM82" s="1413"/>
      <c r="AN82" s="1413"/>
      <c r="AO82" s="1413"/>
      <c r="AP82" s="1413"/>
      <c r="AQ82" s="1413"/>
      <c r="AR82" s="1413"/>
      <c r="AS82" s="1413"/>
      <c r="AT82" s="1413"/>
      <c r="AU82" s="1413"/>
      <c r="AV82" s="1413"/>
      <c r="AW82" s="1413"/>
      <c r="AX82" s="1413"/>
      <c r="AY82" s="1413"/>
      <c r="AZ82" s="1418"/>
    </row>
    <row r="83" spans="1:52" ht="13.5" customHeight="1">
      <c r="A83" s="1499"/>
      <c r="B83" s="1500"/>
      <c r="C83" s="1500"/>
      <c r="D83" s="1500"/>
      <c r="E83" s="1500"/>
      <c r="F83" s="1500"/>
      <c r="G83" s="1500"/>
      <c r="H83" s="1500"/>
      <c r="I83" s="1500"/>
      <c r="J83" s="1500"/>
      <c r="K83" s="1500"/>
      <c r="L83" s="1500"/>
      <c r="M83" s="1500"/>
      <c r="N83" s="1500"/>
      <c r="O83" s="1500"/>
      <c r="P83" s="1490"/>
      <c r="Q83" s="1490"/>
      <c r="R83" s="1413"/>
      <c r="S83" s="1413"/>
      <c r="T83" s="1413"/>
      <c r="U83" s="1413"/>
      <c r="V83" s="1413"/>
      <c r="W83" s="1413"/>
      <c r="X83" s="1413"/>
      <c r="Y83" s="1413"/>
      <c r="Z83" s="1413"/>
      <c r="AA83" s="1413"/>
      <c r="AB83" s="1413"/>
      <c r="AC83" s="1413"/>
      <c r="AD83" s="1413"/>
      <c r="AE83" s="1413"/>
      <c r="AF83" s="1413"/>
      <c r="AG83" s="1413"/>
      <c r="AH83" s="1413"/>
      <c r="AI83" s="1413"/>
      <c r="AJ83" s="1413"/>
      <c r="AK83" s="1413"/>
      <c r="AL83" s="1413"/>
      <c r="AM83" s="1413"/>
      <c r="AN83" s="1413"/>
      <c r="AO83" s="1413"/>
      <c r="AP83" s="1413"/>
      <c r="AQ83" s="1413"/>
      <c r="AR83" s="1413"/>
      <c r="AS83" s="1413"/>
      <c r="AT83" s="1413"/>
      <c r="AU83" s="1413"/>
      <c r="AV83" s="1413"/>
      <c r="AW83" s="1413"/>
      <c r="AX83" s="1413"/>
      <c r="AY83" s="1413"/>
      <c r="AZ83" s="1418"/>
    </row>
    <row r="84" spans="1:52" ht="12.75" customHeight="1">
      <c r="A84" s="1499"/>
      <c r="B84" s="1500"/>
      <c r="C84" s="1500"/>
      <c r="D84" s="1500"/>
      <c r="E84" s="1500"/>
      <c r="F84" s="1500"/>
      <c r="G84" s="1500"/>
      <c r="H84" s="1500"/>
      <c r="I84" s="1500"/>
      <c r="J84" s="1500"/>
      <c r="K84" s="1500"/>
      <c r="L84" s="1500"/>
      <c r="M84" s="1500"/>
      <c r="N84" s="1500"/>
      <c r="O84" s="1500"/>
      <c r="P84" s="1490" t="s">
        <v>142</v>
      </c>
      <c r="Q84" s="1490"/>
      <c r="R84" s="1413"/>
      <c r="S84" s="1413"/>
      <c r="T84" s="1413"/>
      <c r="U84" s="1413"/>
      <c r="V84" s="1413"/>
      <c r="W84" s="1413"/>
      <c r="X84" s="1413"/>
      <c r="Y84" s="1413"/>
      <c r="Z84" s="1413"/>
      <c r="AA84" s="1413"/>
      <c r="AB84" s="1413"/>
      <c r="AC84" s="1413"/>
      <c r="AD84" s="1413"/>
      <c r="AE84" s="1413"/>
      <c r="AF84" s="1413"/>
      <c r="AG84" s="1413"/>
      <c r="AH84" s="1413"/>
      <c r="AI84" s="1413"/>
      <c r="AJ84" s="1413"/>
      <c r="AK84" s="1413"/>
      <c r="AL84" s="1413"/>
      <c r="AM84" s="1413"/>
      <c r="AN84" s="1413"/>
      <c r="AO84" s="1413"/>
      <c r="AP84" s="1413"/>
      <c r="AQ84" s="1413"/>
      <c r="AR84" s="1413"/>
      <c r="AS84" s="1413"/>
      <c r="AT84" s="1413"/>
      <c r="AU84" s="1413"/>
      <c r="AV84" s="1413"/>
      <c r="AW84" s="1413"/>
      <c r="AX84" s="1413"/>
      <c r="AY84" s="1413"/>
      <c r="AZ84" s="1418"/>
    </row>
    <row r="85" spans="1:52" ht="12.75" customHeight="1">
      <c r="A85" s="1499"/>
      <c r="B85" s="1500"/>
      <c r="C85" s="1500"/>
      <c r="D85" s="1500"/>
      <c r="E85" s="1500"/>
      <c r="F85" s="1500"/>
      <c r="G85" s="1500"/>
      <c r="H85" s="1500"/>
      <c r="I85" s="1500"/>
      <c r="J85" s="1500"/>
      <c r="K85" s="1500"/>
      <c r="L85" s="1500"/>
      <c r="M85" s="1500"/>
      <c r="N85" s="1500"/>
      <c r="O85" s="1500"/>
      <c r="P85" s="1490"/>
      <c r="Q85" s="1490"/>
      <c r="R85" s="1413"/>
      <c r="S85" s="1413"/>
      <c r="T85" s="1413"/>
      <c r="U85" s="1413"/>
      <c r="V85" s="1413"/>
      <c r="W85" s="1413"/>
      <c r="X85" s="1413"/>
      <c r="Y85" s="1413"/>
      <c r="Z85" s="1413"/>
      <c r="AA85" s="1413"/>
      <c r="AB85" s="1413"/>
      <c r="AC85" s="1413"/>
      <c r="AD85" s="1413"/>
      <c r="AE85" s="1413"/>
      <c r="AF85" s="1413"/>
      <c r="AG85" s="1413"/>
      <c r="AH85" s="1413"/>
      <c r="AI85" s="1413"/>
      <c r="AJ85" s="1413"/>
      <c r="AK85" s="1413"/>
      <c r="AL85" s="1413"/>
      <c r="AM85" s="1413"/>
      <c r="AN85" s="1413"/>
      <c r="AO85" s="1413"/>
      <c r="AP85" s="1413"/>
      <c r="AQ85" s="1413"/>
      <c r="AR85" s="1413"/>
      <c r="AS85" s="1413"/>
      <c r="AT85" s="1413"/>
      <c r="AU85" s="1413"/>
      <c r="AV85" s="1413"/>
      <c r="AW85" s="1413"/>
      <c r="AX85" s="1413"/>
      <c r="AY85" s="1413"/>
      <c r="AZ85" s="1418"/>
    </row>
    <row r="86" spans="1:52" ht="13.5" customHeight="1">
      <c r="A86" s="1499"/>
      <c r="B86" s="1500"/>
      <c r="C86" s="1500"/>
      <c r="D86" s="1500"/>
      <c r="E86" s="1500"/>
      <c r="F86" s="1500"/>
      <c r="G86" s="1500"/>
      <c r="H86" s="1500"/>
      <c r="I86" s="1500"/>
      <c r="J86" s="1500"/>
      <c r="K86" s="1500"/>
      <c r="L86" s="1500"/>
      <c r="M86" s="1500"/>
      <c r="N86" s="1500"/>
      <c r="O86" s="1500"/>
      <c r="P86" s="1490"/>
      <c r="Q86" s="1490"/>
      <c r="R86" s="1413"/>
      <c r="S86" s="1413"/>
      <c r="T86" s="1413"/>
      <c r="U86" s="1413"/>
      <c r="V86" s="1413"/>
      <c r="W86" s="1413"/>
      <c r="X86" s="1413"/>
      <c r="Y86" s="1413"/>
      <c r="Z86" s="1413"/>
      <c r="AA86" s="1413"/>
      <c r="AB86" s="1413"/>
      <c r="AC86" s="1413"/>
      <c r="AD86" s="1413"/>
      <c r="AE86" s="1413"/>
      <c r="AF86" s="1413"/>
      <c r="AG86" s="1413"/>
      <c r="AH86" s="1413"/>
      <c r="AI86" s="1413"/>
      <c r="AJ86" s="1413"/>
      <c r="AK86" s="1413"/>
      <c r="AL86" s="1413"/>
      <c r="AM86" s="1413"/>
      <c r="AN86" s="1413"/>
      <c r="AO86" s="1413"/>
      <c r="AP86" s="1413"/>
      <c r="AQ86" s="1413"/>
      <c r="AR86" s="1413"/>
      <c r="AS86" s="1413"/>
      <c r="AT86" s="1413"/>
      <c r="AU86" s="1413"/>
      <c r="AV86" s="1413"/>
      <c r="AW86" s="1413"/>
      <c r="AX86" s="1413"/>
      <c r="AY86" s="1413"/>
      <c r="AZ86" s="1418"/>
    </row>
    <row r="87" spans="1:52" ht="12.75" customHeight="1">
      <c r="A87" s="1499"/>
      <c r="B87" s="1500"/>
      <c r="C87" s="1500"/>
      <c r="D87" s="1500"/>
      <c r="E87" s="1500"/>
      <c r="F87" s="1500"/>
      <c r="G87" s="1500"/>
      <c r="H87" s="1500"/>
      <c r="I87" s="1500"/>
      <c r="J87" s="1500"/>
      <c r="K87" s="1500"/>
      <c r="L87" s="1500"/>
      <c r="M87" s="1500"/>
      <c r="N87" s="1500"/>
      <c r="O87" s="1500"/>
      <c r="P87" s="1490" t="s">
        <v>143</v>
      </c>
      <c r="Q87" s="1490"/>
      <c r="R87" s="1413"/>
      <c r="S87" s="1413"/>
      <c r="T87" s="1413"/>
      <c r="U87" s="1413"/>
      <c r="V87" s="1413"/>
      <c r="W87" s="1413"/>
      <c r="X87" s="1413"/>
      <c r="Y87" s="1413"/>
      <c r="Z87" s="1413"/>
      <c r="AA87" s="1413"/>
      <c r="AB87" s="1413"/>
      <c r="AC87" s="1413"/>
      <c r="AD87" s="1413"/>
      <c r="AE87" s="1413"/>
      <c r="AF87" s="1413"/>
      <c r="AG87" s="1413"/>
      <c r="AH87" s="1413"/>
      <c r="AI87" s="1413"/>
      <c r="AJ87" s="1413"/>
      <c r="AK87" s="1413"/>
      <c r="AL87" s="1413"/>
      <c r="AM87" s="1413"/>
      <c r="AN87" s="1413"/>
      <c r="AO87" s="1413"/>
      <c r="AP87" s="1413"/>
      <c r="AQ87" s="1413"/>
      <c r="AR87" s="1413"/>
      <c r="AS87" s="1413"/>
      <c r="AT87" s="1413"/>
      <c r="AU87" s="1413"/>
      <c r="AV87" s="1413"/>
      <c r="AW87" s="1413"/>
      <c r="AX87" s="1413"/>
      <c r="AY87" s="1413"/>
      <c r="AZ87" s="1418"/>
    </row>
    <row r="88" spans="1:52" ht="12.75" customHeight="1">
      <c r="A88" s="1499"/>
      <c r="B88" s="1500"/>
      <c r="C88" s="1500"/>
      <c r="D88" s="1500"/>
      <c r="E88" s="1500"/>
      <c r="F88" s="1500"/>
      <c r="G88" s="1500"/>
      <c r="H88" s="1500"/>
      <c r="I88" s="1500"/>
      <c r="J88" s="1500"/>
      <c r="K88" s="1500"/>
      <c r="L88" s="1500"/>
      <c r="M88" s="1500"/>
      <c r="N88" s="1500"/>
      <c r="O88" s="1500"/>
      <c r="P88" s="1490"/>
      <c r="Q88" s="1490"/>
      <c r="R88" s="1413"/>
      <c r="S88" s="1413"/>
      <c r="T88" s="1413"/>
      <c r="U88" s="1413"/>
      <c r="V88" s="1413"/>
      <c r="W88" s="1413"/>
      <c r="X88" s="1413"/>
      <c r="Y88" s="1413"/>
      <c r="Z88" s="1413"/>
      <c r="AA88" s="1413"/>
      <c r="AB88" s="1413"/>
      <c r="AC88" s="1413"/>
      <c r="AD88" s="1413"/>
      <c r="AE88" s="1413"/>
      <c r="AF88" s="1413"/>
      <c r="AG88" s="1413"/>
      <c r="AH88" s="1413"/>
      <c r="AI88" s="1413"/>
      <c r="AJ88" s="1413"/>
      <c r="AK88" s="1413"/>
      <c r="AL88" s="1413"/>
      <c r="AM88" s="1413"/>
      <c r="AN88" s="1413"/>
      <c r="AO88" s="1413"/>
      <c r="AP88" s="1413"/>
      <c r="AQ88" s="1413"/>
      <c r="AR88" s="1413"/>
      <c r="AS88" s="1413"/>
      <c r="AT88" s="1413"/>
      <c r="AU88" s="1413"/>
      <c r="AV88" s="1413"/>
      <c r="AW88" s="1413"/>
      <c r="AX88" s="1413"/>
      <c r="AY88" s="1413"/>
      <c r="AZ88" s="1418"/>
    </row>
    <row r="89" spans="1:52" ht="13.5" customHeight="1">
      <c r="A89" s="1499"/>
      <c r="B89" s="1500"/>
      <c r="C89" s="1500"/>
      <c r="D89" s="1500"/>
      <c r="E89" s="1500"/>
      <c r="F89" s="1500"/>
      <c r="G89" s="1500"/>
      <c r="H89" s="1500"/>
      <c r="I89" s="1500"/>
      <c r="J89" s="1500"/>
      <c r="K89" s="1500"/>
      <c r="L89" s="1500"/>
      <c r="M89" s="1500"/>
      <c r="N89" s="1500"/>
      <c r="O89" s="1500"/>
      <c r="P89" s="1490"/>
      <c r="Q89" s="1490"/>
      <c r="R89" s="1413"/>
      <c r="S89" s="1413"/>
      <c r="T89" s="1413"/>
      <c r="U89" s="1413"/>
      <c r="V89" s="1413"/>
      <c r="W89" s="1413"/>
      <c r="X89" s="1413"/>
      <c r="Y89" s="1413"/>
      <c r="Z89" s="1413"/>
      <c r="AA89" s="1413"/>
      <c r="AB89" s="1413"/>
      <c r="AC89" s="1413"/>
      <c r="AD89" s="1413"/>
      <c r="AE89" s="1413"/>
      <c r="AF89" s="1413"/>
      <c r="AG89" s="1413"/>
      <c r="AH89" s="1413"/>
      <c r="AI89" s="1413"/>
      <c r="AJ89" s="1413"/>
      <c r="AK89" s="1413"/>
      <c r="AL89" s="1413"/>
      <c r="AM89" s="1413"/>
      <c r="AN89" s="1413"/>
      <c r="AO89" s="1413"/>
      <c r="AP89" s="1413"/>
      <c r="AQ89" s="1413"/>
      <c r="AR89" s="1413"/>
      <c r="AS89" s="1413"/>
      <c r="AT89" s="1413"/>
      <c r="AU89" s="1413"/>
      <c r="AV89" s="1413"/>
      <c r="AW89" s="1413"/>
      <c r="AX89" s="1413"/>
      <c r="AY89" s="1413"/>
      <c r="AZ89" s="1418"/>
    </row>
    <row r="90" spans="1:52" ht="12.75" customHeight="1">
      <c r="A90" s="1499"/>
      <c r="B90" s="1500"/>
      <c r="C90" s="1500"/>
      <c r="D90" s="1500"/>
      <c r="E90" s="1500"/>
      <c r="F90" s="1500"/>
      <c r="G90" s="1500"/>
      <c r="H90" s="1500"/>
      <c r="I90" s="1500"/>
      <c r="J90" s="1500"/>
      <c r="K90" s="1500"/>
      <c r="L90" s="1500"/>
      <c r="M90" s="1500"/>
      <c r="N90" s="1500"/>
      <c r="O90" s="1500"/>
      <c r="P90" s="1490" t="s">
        <v>144</v>
      </c>
      <c r="Q90" s="1490"/>
      <c r="R90" s="1413"/>
      <c r="S90" s="1413"/>
      <c r="T90" s="1413"/>
      <c r="U90" s="1413"/>
      <c r="V90" s="1413"/>
      <c r="W90" s="1413"/>
      <c r="X90" s="1413"/>
      <c r="Y90" s="1413"/>
      <c r="Z90" s="1413"/>
      <c r="AA90" s="1413"/>
      <c r="AB90" s="1413"/>
      <c r="AC90" s="1413"/>
      <c r="AD90" s="1413"/>
      <c r="AE90" s="1413"/>
      <c r="AF90" s="1413"/>
      <c r="AG90" s="1413"/>
      <c r="AH90" s="1413"/>
      <c r="AI90" s="1413"/>
      <c r="AJ90" s="1413"/>
      <c r="AK90" s="1413"/>
      <c r="AL90" s="1413"/>
      <c r="AM90" s="1413"/>
      <c r="AN90" s="1413"/>
      <c r="AO90" s="1413"/>
      <c r="AP90" s="1413"/>
      <c r="AQ90" s="1413"/>
      <c r="AR90" s="1413"/>
      <c r="AS90" s="1413"/>
      <c r="AT90" s="1413"/>
      <c r="AU90" s="1413"/>
      <c r="AV90" s="1413"/>
      <c r="AW90" s="1413"/>
      <c r="AX90" s="1413"/>
      <c r="AY90" s="1413"/>
      <c r="AZ90" s="1418"/>
    </row>
    <row r="91" spans="1:52" ht="12.75" customHeight="1">
      <c r="A91" s="1499"/>
      <c r="B91" s="1500"/>
      <c r="C91" s="1500"/>
      <c r="D91" s="1500"/>
      <c r="E91" s="1500"/>
      <c r="F91" s="1500"/>
      <c r="G91" s="1500"/>
      <c r="H91" s="1500"/>
      <c r="I91" s="1500"/>
      <c r="J91" s="1500"/>
      <c r="K91" s="1500"/>
      <c r="L91" s="1500"/>
      <c r="M91" s="1500"/>
      <c r="N91" s="1500"/>
      <c r="O91" s="1500"/>
      <c r="P91" s="1490"/>
      <c r="Q91" s="1490"/>
      <c r="R91" s="1413"/>
      <c r="S91" s="1413"/>
      <c r="T91" s="1413"/>
      <c r="U91" s="1413"/>
      <c r="V91" s="1413"/>
      <c r="W91" s="1413"/>
      <c r="X91" s="1413"/>
      <c r="Y91" s="1413"/>
      <c r="Z91" s="1413"/>
      <c r="AA91" s="1413"/>
      <c r="AB91" s="1413"/>
      <c r="AC91" s="1413"/>
      <c r="AD91" s="1413"/>
      <c r="AE91" s="1413"/>
      <c r="AF91" s="1413"/>
      <c r="AG91" s="1413"/>
      <c r="AH91" s="1413"/>
      <c r="AI91" s="1413"/>
      <c r="AJ91" s="1413"/>
      <c r="AK91" s="1413"/>
      <c r="AL91" s="1413"/>
      <c r="AM91" s="1413"/>
      <c r="AN91" s="1413"/>
      <c r="AO91" s="1413"/>
      <c r="AP91" s="1413"/>
      <c r="AQ91" s="1413"/>
      <c r="AR91" s="1413"/>
      <c r="AS91" s="1413"/>
      <c r="AT91" s="1413"/>
      <c r="AU91" s="1413"/>
      <c r="AV91" s="1413"/>
      <c r="AW91" s="1413"/>
      <c r="AX91" s="1413"/>
      <c r="AY91" s="1413"/>
      <c r="AZ91" s="1418"/>
    </row>
    <row r="92" spans="1:52" ht="13.5" customHeight="1">
      <c r="A92" s="1499"/>
      <c r="B92" s="1500"/>
      <c r="C92" s="1500"/>
      <c r="D92" s="1500"/>
      <c r="E92" s="1500"/>
      <c r="F92" s="1500"/>
      <c r="G92" s="1500"/>
      <c r="H92" s="1500"/>
      <c r="I92" s="1500"/>
      <c r="J92" s="1500"/>
      <c r="K92" s="1500"/>
      <c r="L92" s="1500"/>
      <c r="M92" s="1500"/>
      <c r="N92" s="1500"/>
      <c r="O92" s="1500"/>
      <c r="P92" s="1490"/>
      <c r="Q92" s="1490"/>
      <c r="R92" s="1413"/>
      <c r="S92" s="1413"/>
      <c r="T92" s="1413"/>
      <c r="U92" s="1413"/>
      <c r="V92" s="1413"/>
      <c r="W92" s="1413"/>
      <c r="X92" s="1413"/>
      <c r="Y92" s="1413"/>
      <c r="Z92" s="1413"/>
      <c r="AA92" s="1413"/>
      <c r="AB92" s="1413"/>
      <c r="AC92" s="1413"/>
      <c r="AD92" s="1413"/>
      <c r="AE92" s="1413"/>
      <c r="AF92" s="1413"/>
      <c r="AG92" s="1413"/>
      <c r="AH92" s="1413"/>
      <c r="AI92" s="1413"/>
      <c r="AJ92" s="1413"/>
      <c r="AK92" s="1413"/>
      <c r="AL92" s="1413"/>
      <c r="AM92" s="1413"/>
      <c r="AN92" s="1413"/>
      <c r="AO92" s="1413"/>
      <c r="AP92" s="1413"/>
      <c r="AQ92" s="1413"/>
      <c r="AR92" s="1413"/>
      <c r="AS92" s="1413"/>
      <c r="AT92" s="1413"/>
      <c r="AU92" s="1413"/>
      <c r="AV92" s="1413"/>
      <c r="AW92" s="1413"/>
      <c r="AX92" s="1413"/>
      <c r="AY92" s="1413"/>
      <c r="AZ92" s="1418"/>
    </row>
    <row r="93" spans="1:52" ht="12.75" customHeight="1">
      <c r="A93" s="1499"/>
      <c r="B93" s="1500"/>
      <c r="C93" s="1500"/>
      <c r="D93" s="1500"/>
      <c r="E93" s="1500"/>
      <c r="F93" s="1500"/>
      <c r="G93" s="1500"/>
      <c r="H93" s="1500"/>
      <c r="I93" s="1500"/>
      <c r="J93" s="1500"/>
      <c r="K93" s="1500"/>
      <c r="L93" s="1500"/>
      <c r="M93" s="1500"/>
      <c r="N93" s="1500"/>
      <c r="O93" s="1500"/>
      <c r="P93" s="1490" t="s">
        <v>145</v>
      </c>
      <c r="Q93" s="1490"/>
      <c r="R93" s="1413"/>
      <c r="S93" s="1413"/>
      <c r="T93" s="1413"/>
      <c r="U93" s="1413"/>
      <c r="V93" s="1413"/>
      <c r="W93" s="1413"/>
      <c r="X93" s="1413"/>
      <c r="Y93" s="1413"/>
      <c r="Z93" s="1413"/>
      <c r="AA93" s="1413"/>
      <c r="AB93" s="1413"/>
      <c r="AC93" s="1413"/>
      <c r="AD93" s="1413"/>
      <c r="AE93" s="1413"/>
      <c r="AF93" s="1413"/>
      <c r="AG93" s="1413"/>
      <c r="AH93" s="1413"/>
      <c r="AI93" s="1413"/>
      <c r="AJ93" s="1413"/>
      <c r="AK93" s="1413"/>
      <c r="AL93" s="1413"/>
      <c r="AM93" s="1413"/>
      <c r="AN93" s="1413"/>
      <c r="AO93" s="1413"/>
      <c r="AP93" s="1413"/>
      <c r="AQ93" s="1413"/>
      <c r="AR93" s="1413"/>
      <c r="AS93" s="1413"/>
      <c r="AT93" s="1413"/>
      <c r="AU93" s="1413"/>
      <c r="AV93" s="1413"/>
      <c r="AW93" s="1413"/>
      <c r="AX93" s="1413"/>
      <c r="AY93" s="1413"/>
      <c r="AZ93" s="1418"/>
    </row>
    <row r="94" spans="1:52" ht="12.75" customHeight="1">
      <c r="A94" s="1499"/>
      <c r="B94" s="1500"/>
      <c r="C94" s="1500"/>
      <c r="D94" s="1500"/>
      <c r="E94" s="1500"/>
      <c r="F94" s="1500"/>
      <c r="G94" s="1500"/>
      <c r="H94" s="1500"/>
      <c r="I94" s="1500"/>
      <c r="J94" s="1500"/>
      <c r="K94" s="1500"/>
      <c r="L94" s="1500"/>
      <c r="M94" s="1500"/>
      <c r="N94" s="1500"/>
      <c r="O94" s="1500"/>
      <c r="P94" s="1490"/>
      <c r="Q94" s="1490"/>
      <c r="R94" s="1413"/>
      <c r="S94" s="1413"/>
      <c r="T94" s="1413"/>
      <c r="U94" s="1413"/>
      <c r="V94" s="1413"/>
      <c r="W94" s="1413"/>
      <c r="X94" s="1413"/>
      <c r="Y94" s="1413"/>
      <c r="Z94" s="1413"/>
      <c r="AA94" s="1413"/>
      <c r="AB94" s="1413"/>
      <c r="AC94" s="1413"/>
      <c r="AD94" s="1413"/>
      <c r="AE94" s="1413"/>
      <c r="AF94" s="1413"/>
      <c r="AG94" s="1413"/>
      <c r="AH94" s="1413"/>
      <c r="AI94" s="1413"/>
      <c r="AJ94" s="1413"/>
      <c r="AK94" s="1413"/>
      <c r="AL94" s="1413"/>
      <c r="AM94" s="1413"/>
      <c r="AN94" s="1413"/>
      <c r="AO94" s="1413"/>
      <c r="AP94" s="1413"/>
      <c r="AQ94" s="1413"/>
      <c r="AR94" s="1413"/>
      <c r="AS94" s="1413"/>
      <c r="AT94" s="1413"/>
      <c r="AU94" s="1413"/>
      <c r="AV94" s="1413"/>
      <c r="AW94" s="1413"/>
      <c r="AX94" s="1413"/>
      <c r="AY94" s="1413"/>
      <c r="AZ94" s="1418"/>
    </row>
    <row r="95" spans="1:52" ht="13.5" customHeight="1">
      <c r="A95" s="1499"/>
      <c r="B95" s="1500"/>
      <c r="C95" s="1500"/>
      <c r="D95" s="1500"/>
      <c r="E95" s="1500"/>
      <c r="F95" s="1500"/>
      <c r="G95" s="1500"/>
      <c r="H95" s="1500"/>
      <c r="I95" s="1500"/>
      <c r="J95" s="1500"/>
      <c r="K95" s="1500"/>
      <c r="L95" s="1500"/>
      <c r="M95" s="1500"/>
      <c r="N95" s="1500"/>
      <c r="O95" s="1500"/>
      <c r="P95" s="1490"/>
      <c r="Q95" s="1490"/>
      <c r="R95" s="1413"/>
      <c r="S95" s="1413"/>
      <c r="T95" s="1413"/>
      <c r="U95" s="1413"/>
      <c r="V95" s="1413"/>
      <c r="W95" s="1413"/>
      <c r="X95" s="1413"/>
      <c r="Y95" s="1413"/>
      <c r="Z95" s="1413"/>
      <c r="AA95" s="1413"/>
      <c r="AB95" s="1413"/>
      <c r="AC95" s="1413"/>
      <c r="AD95" s="1413"/>
      <c r="AE95" s="1413"/>
      <c r="AF95" s="1413"/>
      <c r="AG95" s="1413"/>
      <c r="AH95" s="1413"/>
      <c r="AI95" s="1413"/>
      <c r="AJ95" s="1413"/>
      <c r="AK95" s="1413"/>
      <c r="AL95" s="1413"/>
      <c r="AM95" s="1413"/>
      <c r="AN95" s="1413"/>
      <c r="AO95" s="1413"/>
      <c r="AP95" s="1413"/>
      <c r="AQ95" s="1413"/>
      <c r="AR95" s="1413"/>
      <c r="AS95" s="1413"/>
      <c r="AT95" s="1413"/>
      <c r="AU95" s="1413"/>
      <c r="AV95" s="1413"/>
      <c r="AW95" s="1413"/>
      <c r="AX95" s="1413"/>
      <c r="AY95" s="1413"/>
      <c r="AZ95" s="1418"/>
    </row>
    <row r="96" spans="1:52" ht="12.75" customHeight="1">
      <c r="A96" s="1499"/>
      <c r="B96" s="1500"/>
      <c r="C96" s="1500"/>
      <c r="D96" s="1500"/>
      <c r="E96" s="1500"/>
      <c r="F96" s="1500"/>
      <c r="G96" s="1500"/>
      <c r="H96" s="1500"/>
      <c r="I96" s="1500"/>
      <c r="J96" s="1500"/>
      <c r="K96" s="1500"/>
      <c r="L96" s="1500"/>
      <c r="M96" s="1500"/>
      <c r="N96" s="1500"/>
      <c r="O96" s="1500"/>
      <c r="P96" s="1490" t="s">
        <v>146</v>
      </c>
      <c r="Q96" s="1490"/>
      <c r="R96" s="1413"/>
      <c r="S96" s="1413"/>
      <c r="T96" s="1413"/>
      <c r="U96" s="1413"/>
      <c r="V96" s="1413"/>
      <c r="W96" s="1413"/>
      <c r="X96" s="1413"/>
      <c r="Y96" s="1413"/>
      <c r="Z96" s="1413"/>
      <c r="AA96" s="1413"/>
      <c r="AB96" s="1413"/>
      <c r="AC96" s="1413"/>
      <c r="AD96" s="1413"/>
      <c r="AE96" s="1413"/>
      <c r="AF96" s="1413"/>
      <c r="AG96" s="1413"/>
      <c r="AH96" s="1413"/>
      <c r="AI96" s="1413"/>
      <c r="AJ96" s="1413"/>
      <c r="AK96" s="1413"/>
      <c r="AL96" s="1413"/>
      <c r="AM96" s="1413"/>
      <c r="AN96" s="1413"/>
      <c r="AO96" s="1413"/>
      <c r="AP96" s="1413"/>
      <c r="AQ96" s="1413"/>
      <c r="AR96" s="1413"/>
      <c r="AS96" s="1413"/>
      <c r="AT96" s="1413"/>
      <c r="AU96" s="1413"/>
      <c r="AV96" s="1413"/>
      <c r="AW96" s="1413"/>
      <c r="AX96" s="1413"/>
      <c r="AY96" s="1413"/>
      <c r="AZ96" s="1418"/>
    </row>
    <row r="97" spans="1:52" ht="12.75" customHeight="1">
      <c r="A97" s="1499"/>
      <c r="B97" s="1500"/>
      <c r="C97" s="1500"/>
      <c r="D97" s="1500"/>
      <c r="E97" s="1500"/>
      <c r="F97" s="1500"/>
      <c r="G97" s="1500"/>
      <c r="H97" s="1500"/>
      <c r="I97" s="1500"/>
      <c r="J97" s="1500"/>
      <c r="K97" s="1500"/>
      <c r="L97" s="1500"/>
      <c r="M97" s="1500"/>
      <c r="N97" s="1500"/>
      <c r="O97" s="1500"/>
      <c r="P97" s="1490"/>
      <c r="Q97" s="1490"/>
      <c r="R97" s="1413"/>
      <c r="S97" s="1413"/>
      <c r="T97" s="1413"/>
      <c r="U97" s="1413"/>
      <c r="V97" s="1413"/>
      <c r="W97" s="1413"/>
      <c r="X97" s="1413"/>
      <c r="Y97" s="1413"/>
      <c r="Z97" s="1413"/>
      <c r="AA97" s="1413"/>
      <c r="AB97" s="1413"/>
      <c r="AC97" s="1413"/>
      <c r="AD97" s="1413"/>
      <c r="AE97" s="1413"/>
      <c r="AF97" s="1413"/>
      <c r="AG97" s="1413"/>
      <c r="AH97" s="1413"/>
      <c r="AI97" s="1413"/>
      <c r="AJ97" s="1413"/>
      <c r="AK97" s="1413"/>
      <c r="AL97" s="1413"/>
      <c r="AM97" s="1413"/>
      <c r="AN97" s="1413"/>
      <c r="AO97" s="1413"/>
      <c r="AP97" s="1413"/>
      <c r="AQ97" s="1413"/>
      <c r="AR97" s="1413"/>
      <c r="AS97" s="1413"/>
      <c r="AT97" s="1413"/>
      <c r="AU97" s="1413"/>
      <c r="AV97" s="1413"/>
      <c r="AW97" s="1413"/>
      <c r="AX97" s="1413"/>
      <c r="AY97" s="1413"/>
      <c r="AZ97" s="1418"/>
    </row>
    <row r="98" spans="1:52" ht="13.5" customHeight="1">
      <c r="A98" s="1499"/>
      <c r="B98" s="1500"/>
      <c r="C98" s="1500"/>
      <c r="D98" s="1500"/>
      <c r="E98" s="1500"/>
      <c r="F98" s="1500"/>
      <c r="G98" s="1500"/>
      <c r="H98" s="1500"/>
      <c r="I98" s="1500"/>
      <c r="J98" s="1500"/>
      <c r="K98" s="1500"/>
      <c r="L98" s="1500"/>
      <c r="M98" s="1500"/>
      <c r="N98" s="1500"/>
      <c r="O98" s="1500"/>
      <c r="P98" s="1490"/>
      <c r="Q98" s="1490"/>
      <c r="R98" s="1413"/>
      <c r="S98" s="1413"/>
      <c r="T98" s="1413"/>
      <c r="U98" s="1413"/>
      <c r="V98" s="1413"/>
      <c r="W98" s="1413"/>
      <c r="X98" s="1413"/>
      <c r="Y98" s="1413"/>
      <c r="Z98" s="1413"/>
      <c r="AA98" s="1413"/>
      <c r="AB98" s="1413"/>
      <c r="AC98" s="1413"/>
      <c r="AD98" s="1413"/>
      <c r="AE98" s="1413"/>
      <c r="AF98" s="1413"/>
      <c r="AG98" s="1413"/>
      <c r="AH98" s="1413"/>
      <c r="AI98" s="1413"/>
      <c r="AJ98" s="1413"/>
      <c r="AK98" s="1413"/>
      <c r="AL98" s="1413"/>
      <c r="AM98" s="1413"/>
      <c r="AN98" s="1413"/>
      <c r="AO98" s="1413"/>
      <c r="AP98" s="1413"/>
      <c r="AQ98" s="1413"/>
      <c r="AR98" s="1413"/>
      <c r="AS98" s="1413"/>
      <c r="AT98" s="1413"/>
      <c r="AU98" s="1413"/>
      <c r="AV98" s="1413"/>
      <c r="AW98" s="1413"/>
      <c r="AX98" s="1413"/>
      <c r="AY98" s="1413"/>
      <c r="AZ98" s="1418"/>
    </row>
    <row r="99" spans="1:52" ht="12.75" customHeight="1">
      <c r="A99" s="1489" t="str">
        <f>VLOOKUP("Welche Maßnahmen sind definiert?",Translations!$A:$T,MATCH(Cover!DR19,Translations!A2:P2,0),0)</f>
        <v>Which measure have been defined?</v>
      </c>
      <c r="B99" s="1490"/>
      <c r="C99" s="1490"/>
      <c r="D99" s="1490"/>
      <c r="E99" s="1490"/>
      <c r="F99" s="1490"/>
      <c r="G99" s="1490"/>
      <c r="H99" s="1490"/>
      <c r="I99" s="1490"/>
      <c r="J99" s="1490"/>
      <c r="K99" s="1490"/>
      <c r="L99" s="1490"/>
      <c r="M99" s="1490"/>
      <c r="N99" s="1490"/>
      <c r="O99" s="1490"/>
      <c r="P99" s="1413"/>
      <c r="Q99" s="1413"/>
      <c r="R99" s="1413"/>
      <c r="S99" s="1413"/>
      <c r="T99" s="1413"/>
      <c r="U99" s="1413"/>
      <c r="V99" s="1413"/>
      <c r="W99" s="1413"/>
      <c r="X99" s="1413"/>
      <c r="Y99" s="1413"/>
      <c r="Z99" s="1413"/>
      <c r="AA99" s="1413"/>
      <c r="AB99" s="1413"/>
      <c r="AC99" s="1413"/>
      <c r="AD99" s="1413"/>
      <c r="AE99" s="1413"/>
      <c r="AF99" s="1413"/>
      <c r="AG99" s="1413"/>
      <c r="AH99" s="1413"/>
      <c r="AI99" s="1413"/>
      <c r="AJ99" s="1413"/>
      <c r="AK99" s="1413"/>
      <c r="AL99" s="1413"/>
      <c r="AM99" s="1413"/>
      <c r="AN99" s="1413"/>
      <c r="AO99" s="1413"/>
      <c r="AP99" s="1413"/>
      <c r="AQ99" s="1413"/>
      <c r="AR99" s="1413"/>
      <c r="AS99" s="1413"/>
      <c r="AT99" s="1413"/>
      <c r="AU99" s="1413"/>
      <c r="AV99" s="1413"/>
      <c r="AW99" s="1413"/>
      <c r="AX99" s="1413"/>
      <c r="AY99" s="1413"/>
      <c r="AZ99" s="1418"/>
    </row>
    <row r="100" spans="1:52" ht="12.75" customHeight="1">
      <c r="A100" s="1489"/>
      <c r="B100" s="1490"/>
      <c r="C100" s="1490"/>
      <c r="D100" s="1490"/>
      <c r="E100" s="1490"/>
      <c r="F100" s="1490"/>
      <c r="G100" s="1490"/>
      <c r="H100" s="1490"/>
      <c r="I100" s="1490"/>
      <c r="J100" s="1490"/>
      <c r="K100" s="1490"/>
      <c r="L100" s="1490"/>
      <c r="M100" s="1490"/>
      <c r="N100" s="1490"/>
      <c r="O100" s="1490"/>
      <c r="P100" s="1413"/>
      <c r="Q100" s="1413"/>
      <c r="R100" s="1413"/>
      <c r="S100" s="1413"/>
      <c r="T100" s="1413"/>
      <c r="U100" s="1413"/>
      <c r="V100" s="1413"/>
      <c r="W100" s="1413"/>
      <c r="X100" s="1413"/>
      <c r="Y100" s="1413"/>
      <c r="Z100" s="1413"/>
      <c r="AA100" s="1413"/>
      <c r="AB100" s="1413"/>
      <c r="AC100" s="1413"/>
      <c r="AD100" s="1413"/>
      <c r="AE100" s="1413"/>
      <c r="AF100" s="1413"/>
      <c r="AG100" s="1413"/>
      <c r="AH100" s="1413"/>
      <c r="AI100" s="1413"/>
      <c r="AJ100" s="1413"/>
      <c r="AK100" s="1413"/>
      <c r="AL100" s="1413"/>
      <c r="AM100" s="1413"/>
      <c r="AN100" s="1413"/>
      <c r="AO100" s="1413"/>
      <c r="AP100" s="1413"/>
      <c r="AQ100" s="1413"/>
      <c r="AR100" s="1413"/>
      <c r="AS100" s="1413"/>
      <c r="AT100" s="1413"/>
      <c r="AU100" s="1413"/>
      <c r="AV100" s="1413"/>
      <c r="AW100" s="1413"/>
      <c r="AX100" s="1413"/>
      <c r="AY100" s="1413"/>
      <c r="AZ100" s="1418"/>
    </row>
    <row r="101" spans="1:52" ht="13.5" customHeight="1">
      <c r="A101" s="1489"/>
      <c r="B101" s="1490"/>
      <c r="C101" s="1490"/>
      <c r="D101" s="1490"/>
      <c r="E101" s="1490"/>
      <c r="F101" s="1490"/>
      <c r="G101" s="1490"/>
      <c r="H101" s="1490"/>
      <c r="I101" s="1490"/>
      <c r="J101" s="1490"/>
      <c r="K101" s="1490"/>
      <c r="L101" s="1490"/>
      <c r="M101" s="1490"/>
      <c r="N101" s="1490"/>
      <c r="O101" s="1490"/>
      <c r="P101" s="1413"/>
      <c r="Q101" s="1413"/>
      <c r="R101" s="1413"/>
      <c r="S101" s="1413"/>
      <c r="T101" s="1413"/>
      <c r="U101" s="1413"/>
      <c r="V101" s="1413"/>
      <c r="W101" s="1413"/>
      <c r="X101" s="1413"/>
      <c r="Y101" s="1413"/>
      <c r="Z101" s="1413"/>
      <c r="AA101" s="1413"/>
      <c r="AB101" s="1413"/>
      <c r="AC101" s="1413"/>
      <c r="AD101" s="1413"/>
      <c r="AE101" s="1413"/>
      <c r="AF101" s="1413"/>
      <c r="AG101" s="1413"/>
      <c r="AH101" s="1413"/>
      <c r="AI101" s="1413"/>
      <c r="AJ101" s="1413"/>
      <c r="AK101" s="1413"/>
      <c r="AL101" s="1413"/>
      <c r="AM101" s="1413"/>
      <c r="AN101" s="1413"/>
      <c r="AO101" s="1413"/>
      <c r="AP101" s="1413"/>
      <c r="AQ101" s="1413"/>
      <c r="AR101" s="1413"/>
      <c r="AS101" s="1413"/>
      <c r="AT101" s="1413"/>
      <c r="AU101" s="1413"/>
      <c r="AV101" s="1413"/>
      <c r="AW101" s="1413"/>
      <c r="AX101" s="1413"/>
      <c r="AY101" s="1413"/>
      <c r="AZ101" s="1418"/>
    </row>
    <row r="102" spans="1:52" ht="12.75" customHeight="1">
      <c r="A102" s="1489" t="str">
        <f>VLOOKUP("Wann ist das Wiederholungsrelease?",Translations!$A:$T,MATCH(Cover!DR19,Translations!A2:P2,0),0)</f>
        <v>When is the next bugfixing release?</v>
      </c>
      <c r="B102" s="1490"/>
      <c r="C102" s="1490"/>
      <c r="D102" s="1490"/>
      <c r="E102" s="1490"/>
      <c r="F102" s="1490"/>
      <c r="G102" s="1490"/>
      <c r="H102" s="1490"/>
      <c r="I102" s="1490"/>
      <c r="J102" s="1490"/>
      <c r="K102" s="1490"/>
      <c r="L102" s="1490"/>
      <c r="M102" s="1490"/>
      <c r="N102" s="1490"/>
      <c r="O102" s="1490"/>
      <c r="P102" s="1413"/>
      <c r="Q102" s="1413"/>
      <c r="R102" s="1413"/>
      <c r="S102" s="1413"/>
      <c r="T102" s="1413"/>
      <c r="U102" s="1413"/>
      <c r="V102" s="1413"/>
      <c r="W102" s="1413"/>
      <c r="X102" s="1413"/>
      <c r="Y102" s="1413"/>
      <c r="Z102" s="1413"/>
      <c r="AA102" s="1413"/>
      <c r="AB102" s="1413"/>
      <c r="AC102" s="1413"/>
      <c r="AD102" s="1413"/>
      <c r="AE102" s="1413"/>
      <c r="AF102" s="1413"/>
      <c r="AG102" s="1413"/>
      <c r="AH102" s="1413"/>
      <c r="AI102" s="1413"/>
      <c r="AJ102" s="1413"/>
      <c r="AK102" s="1413"/>
      <c r="AL102" s="1413"/>
      <c r="AM102" s="1413"/>
      <c r="AN102" s="1413"/>
      <c r="AO102" s="1413"/>
      <c r="AP102" s="1413"/>
      <c r="AQ102" s="1413"/>
      <c r="AR102" s="1413"/>
      <c r="AS102" s="1413"/>
      <c r="AT102" s="1413"/>
      <c r="AU102" s="1413"/>
      <c r="AV102" s="1413"/>
      <c r="AW102" s="1413"/>
      <c r="AX102" s="1413"/>
      <c r="AY102" s="1413"/>
      <c r="AZ102" s="1418"/>
    </row>
    <row r="103" spans="1:52" ht="12.75" customHeight="1">
      <c r="A103" s="1489"/>
      <c r="B103" s="1490"/>
      <c r="C103" s="1490"/>
      <c r="D103" s="1490"/>
      <c r="E103" s="1490"/>
      <c r="F103" s="1490"/>
      <c r="G103" s="1490"/>
      <c r="H103" s="1490"/>
      <c r="I103" s="1490"/>
      <c r="J103" s="1490"/>
      <c r="K103" s="1490"/>
      <c r="L103" s="1490"/>
      <c r="M103" s="1490"/>
      <c r="N103" s="1490"/>
      <c r="O103" s="1490"/>
      <c r="P103" s="1413"/>
      <c r="Q103" s="1413"/>
      <c r="R103" s="1413"/>
      <c r="S103" s="1413"/>
      <c r="T103" s="1413"/>
      <c r="U103" s="1413"/>
      <c r="V103" s="1413"/>
      <c r="W103" s="1413"/>
      <c r="X103" s="1413"/>
      <c r="Y103" s="1413"/>
      <c r="Z103" s="1413"/>
      <c r="AA103" s="1413"/>
      <c r="AB103" s="1413"/>
      <c r="AC103" s="1413"/>
      <c r="AD103" s="1413"/>
      <c r="AE103" s="1413"/>
      <c r="AF103" s="1413"/>
      <c r="AG103" s="1413"/>
      <c r="AH103" s="1413"/>
      <c r="AI103" s="1413"/>
      <c r="AJ103" s="1413"/>
      <c r="AK103" s="1413"/>
      <c r="AL103" s="1413"/>
      <c r="AM103" s="1413"/>
      <c r="AN103" s="1413"/>
      <c r="AO103" s="1413"/>
      <c r="AP103" s="1413"/>
      <c r="AQ103" s="1413"/>
      <c r="AR103" s="1413"/>
      <c r="AS103" s="1413"/>
      <c r="AT103" s="1413"/>
      <c r="AU103" s="1413"/>
      <c r="AV103" s="1413"/>
      <c r="AW103" s="1413"/>
      <c r="AX103" s="1413"/>
      <c r="AY103" s="1413"/>
      <c r="AZ103" s="1418"/>
    </row>
    <row r="104" spans="1:52" ht="13.5" customHeight="1" thickBot="1">
      <c r="A104" s="1491"/>
      <c r="B104" s="1492"/>
      <c r="C104" s="1492"/>
      <c r="D104" s="1492"/>
      <c r="E104" s="1492"/>
      <c r="F104" s="1492"/>
      <c r="G104" s="1492"/>
      <c r="H104" s="1492"/>
      <c r="I104" s="1492"/>
      <c r="J104" s="1492"/>
      <c r="K104" s="1492"/>
      <c r="L104" s="1492"/>
      <c r="M104" s="1492"/>
      <c r="N104" s="1492"/>
      <c r="O104" s="1492"/>
      <c r="P104" s="1453"/>
      <c r="Q104" s="1453"/>
      <c r="R104" s="1453"/>
      <c r="S104" s="1453"/>
      <c r="T104" s="1453"/>
      <c r="U104" s="1453"/>
      <c r="V104" s="1453"/>
      <c r="W104" s="1453"/>
      <c r="X104" s="1453"/>
      <c r="Y104" s="1453"/>
      <c r="Z104" s="1453"/>
      <c r="AA104" s="1453"/>
      <c r="AB104" s="1453"/>
      <c r="AC104" s="1453"/>
      <c r="AD104" s="1453"/>
      <c r="AE104" s="1453"/>
      <c r="AF104" s="1453"/>
      <c r="AG104" s="1453"/>
      <c r="AH104" s="1453"/>
      <c r="AI104" s="1453"/>
      <c r="AJ104" s="1453"/>
      <c r="AK104" s="1453"/>
      <c r="AL104" s="1453"/>
      <c r="AM104" s="1453"/>
      <c r="AN104" s="1453"/>
      <c r="AO104" s="1453"/>
      <c r="AP104" s="1453"/>
      <c r="AQ104" s="1453"/>
      <c r="AR104" s="1453"/>
      <c r="AS104" s="1453"/>
      <c r="AT104" s="1453"/>
      <c r="AU104" s="1453"/>
      <c r="AV104" s="1453"/>
      <c r="AW104" s="1453"/>
      <c r="AX104" s="1453"/>
      <c r="AY104" s="1453"/>
      <c r="AZ104" s="1502"/>
    </row>
    <row r="105" spans="1:52" ht="12.75" customHeight="1" thickBot="1">
      <c r="A105" s="640"/>
      <c r="B105" s="641"/>
      <c r="C105" s="641"/>
      <c r="D105" s="641"/>
      <c r="E105" s="641"/>
      <c r="F105" s="641"/>
      <c r="G105" s="641"/>
      <c r="H105" s="641"/>
      <c r="I105" s="641"/>
      <c r="J105" s="641"/>
      <c r="K105" s="641"/>
      <c r="L105" s="641"/>
      <c r="M105" s="641"/>
      <c r="N105" s="641"/>
      <c r="O105" s="641"/>
      <c r="P105" s="638"/>
      <c r="Q105" s="638"/>
      <c r="R105" s="638"/>
      <c r="S105" s="638"/>
      <c r="T105" s="638"/>
      <c r="U105" s="638"/>
      <c r="V105" s="638"/>
      <c r="W105" s="638"/>
      <c r="X105" s="638"/>
      <c r="Y105" s="638"/>
      <c r="Z105" s="638"/>
      <c r="AA105" s="638"/>
      <c r="AB105" s="638"/>
      <c r="AC105" s="638"/>
      <c r="AD105" s="638"/>
      <c r="AE105" s="638"/>
      <c r="AF105" s="638"/>
      <c r="AG105" s="638"/>
      <c r="AH105" s="638"/>
      <c r="AI105" s="638"/>
      <c r="AJ105" s="638"/>
      <c r="AK105" s="638"/>
      <c r="AL105" s="638"/>
      <c r="AM105" s="638"/>
      <c r="AN105" s="638"/>
      <c r="AO105" s="638"/>
      <c r="AP105" s="638"/>
      <c r="AQ105" s="638"/>
      <c r="AR105" s="638"/>
      <c r="AS105" s="638"/>
      <c r="AT105" s="638"/>
      <c r="AU105" s="638"/>
      <c r="AV105" s="638"/>
      <c r="AW105" s="638"/>
      <c r="AX105" s="638"/>
      <c r="AY105" s="638"/>
      <c r="AZ105" s="639"/>
    </row>
    <row r="106" spans="1:52" ht="4.5" customHeight="1">
      <c r="A106" s="642"/>
      <c r="B106" s="1516"/>
      <c r="C106" s="1516"/>
      <c r="D106" s="1516"/>
      <c r="E106" s="1516"/>
      <c r="F106" s="1516"/>
      <c r="G106" s="1516"/>
      <c r="H106" s="1516"/>
      <c r="I106" s="1516"/>
      <c r="J106" s="1516"/>
      <c r="K106" s="1516"/>
      <c r="L106" s="1516"/>
      <c r="M106" s="643"/>
      <c r="N106" s="643"/>
      <c r="O106" s="643"/>
      <c r="P106" s="643"/>
      <c r="Q106" s="643"/>
      <c r="R106" s="643"/>
      <c r="S106" s="643"/>
      <c r="T106" s="643"/>
      <c r="U106" s="643"/>
      <c r="V106" s="643"/>
      <c r="W106" s="643"/>
      <c r="X106" s="643"/>
      <c r="Y106" s="643"/>
      <c r="Z106" s="643"/>
      <c r="AA106" s="643"/>
      <c r="AB106" s="643"/>
      <c r="AC106" s="643"/>
      <c r="AD106" s="643"/>
      <c r="AE106" s="643"/>
      <c r="AF106" s="643"/>
      <c r="AG106" s="643"/>
      <c r="AH106" s="643"/>
      <c r="AI106" s="643"/>
      <c r="AJ106" s="643"/>
      <c r="AK106" s="643"/>
      <c r="AL106" s="643"/>
      <c r="AM106" s="1516"/>
      <c r="AN106" s="1516"/>
      <c r="AO106" s="1516"/>
      <c r="AP106" s="1516"/>
      <c r="AQ106" s="1516"/>
      <c r="AR106" s="1516"/>
      <c r="AS106" s="1516"/>
      <c r="AT106" s="1516"/>
      <c r="AU106" s="1516"/>
      <c r="AV106" s="1516"/>
      <c r="AW106" s="1516"/>
      <c r="AX106" s="1516"/>
      <c r="AY106" s="1516"/>
      <c r="AZ106" s="644"/>
    </row>
    <row r="107" spans="1:52" ht="17.25" customHeight="1">
      <c r="A107" s="637"/>
      <c r="B107" s="1433"/>
      <c r="C107" s="1433"/>
      <c r="D107" s="1433"/>
      <c r="E107" s="1433"/>
      <c r="F107" s="1433"/>
      <c r="G107" s="1433"/>
      <c r="H107" s="1433"/>
      <c r="I107" s="1433"/>
      <c r="J107" s="1433"/>
      <c r="K107" s="1433"/>
      <c r="L107" s="1433"/>
      <c r="M107" s="638"/>
      <c r="N107" s="638"/>
      <c r="O107" s="638"/>
      <c r="P107" s="638"/>
      <c r="Q107" s="638"/>
      <c r="R107" s="638"/>
      <c r="S107" s="638"/>
      <c r="T107" s="638"/>
      <c r="U107" s="638"/>
      <c r="V107" s="638"/>
      <c r="W107" s="638"/>
      <c r="X107" s="638"/>
      <c r="Y107" s="638"/>
      <c r="Z107" s="638"/>
      <c r="AA107" s="638"/>
      <c r="AB107" s="638"/>
      <c r="AC107" s="638"/>
      <c r="AD107" s="638"/>
      <c r="AE107" s="638"/>
      <c r="AF107" s="638"/>
      <c r="AG107" s="638"/>
      <c r="AH107" s="638"/>
      <c r="AI107" s="638"/>
      <c r="AJ107" s="638"/>
      <c r="AK107" s="638"/>
      <c r="AL107" s="638"/>
      <c r="AM107" s="1433"/>
      <c r="AN107" s="1433"/>
      <c r="AO107" s="1433"/>
      <c r="AP107" s="1433"/>
      <c r="AQ107" s="1433"/>
      <c r="AR107" s="1433"/>
      <c r="AS107" s="1433"/>
      <c r="AT107" s="1433"/>
      <c r="AU107" s="1433"/>
      <c r="AV107" s="1433"/>
      <c r="AW107" s="1433"/>
      <c r="AX107" s="1433"/>
      <c r="AY107" s="1433"/>
      <c r="AZ107" s="639"/>
    </row>
    <row r="108" spans="1:52" ht="12.75" customHeight="1">
      <c r="A108" s="637"/>
      <c r="B108" s="1433"/>
      <c r="C108" s="1433"/>
      <c r="D108" s="1433"/>
      <c r="E108" s="1433"/>
      <c r="F108" s="1433"/>
      <c r="G108" s="1433"/>
      <c r="H108" s="1433"/>
      <c r="I108" s="1433"/>
      <c r="J108" s="1433"/>
      <c r="K108" s="1433"/>
      <c r="L108" s="1433"/>
      <c r="M108" s="638"/>
      <c r="N108" s="638"/>
      <c r="O108" s="638"/>
      <c r="P108" s="638"/>
      <c r="Q108" s="638"/>
      <c r="R108" s="638"/>
      <c r="S108" s="638"/>
      <c r="T108" s="638"/>
      <c r="U108" s="638"/>
      <c r="V108" s="638"/>
      <c r="W108" s="638"/>
      <c r="X108" s="638"/>
      <c r="Y108" s="638"/>
      <c r="Z108" s="638"/>
      <c r="AA108" s="638"/>
      <c r="AB108" s="638"/>
      <c r="AC108" s="638"/>
      <c r="AD108" s="638"/>
      <c r="AE108" s="638"/>
      <c r="AF108" s="638"/>
      <c r="AG108" s="638"/>
      <c r="AH108" s="638"/>
      <c r="AI108" s="638"/>
      <c r="AJ108" s="638"/>
      <c r="AK108" s="638"/>
      <c r="AL108" s="638"/>
      <c r="AM108" s="1433"/>
      <c r="AN108" s="1433"/>
      <c r="AO108" s="1433"/>
      <c r="AP108" s="1433"/>
      <c r="AQ108" s="1433"/>
      <c r="AR108" s="1433"/>
      <c r="AS108" s="1433"/>
      <c r="AT108" s="1433"/>
      <c r="AU108" s="1433"/>
      <c r="AV108" s="1433"/>
      <c r="AW108" s="1433"/>
      <c r="AX108" s="1433"/>
      <c r="AY108" s="1433"/>
      <c r="AZ108" s="639"/>
    </row>
    <row r="109" spans="1:52" ht="12.75" customHeight="1">
      <c r="A109" s="637"/>
      <c r="B109" s="1436"/>
      <c r="C109" s="1436"/>
      <c r="D109" s="1436"/>
      <c r="E109" s="1436"/>
      <c r="F109" s="1436"/>
      <c r="G109" s="1436"/>
      <c r="H109" s="1436"/>
      <c r="I109" s="1436"/>
      <c r="J109" s="1436"/>
      <c r="K109" s="1436"/>
      <c r="L109" s="1436"/>
      <c r="M109" s="638"/>
      <c r="N109" s="638"/>
      <c r="O109" s="638"/>
      <c r="P109" s="638"/>
      <c r="Q109" s="638"/>
      <c r="R109" s="638"/>
      <c r="S109" s="638"/>
      <c r="T109" s="638"/>
      <c r="U109" s="638"/>
      <c r="V109" s="638"/>
      <c r="W109" s="638"/>
      <c r="X109" s="638"/>
      <c r="Y109" s="638"/>
      <c r="Z109" s="638"/>
      <c r="AA109" s="638"/>
      <c r="AB109" s="638"/>
      <c r="AC109" s="638"/>
      <c r="AD109" s="638"/>
      <c r="AE109" s="638"/>
      <c r="AF109" s="638"/>
      <c r="AG109" s="638"/>
      <c r="AH109" s="638"/>
      <c r="AI109" s="638"/>
      <c r="AJ109" s="638"/>
      <c r="AK109" s="638"/>
      <c r="AL109" s="638"/>
      <c r="AM109" s="1436"/>
      <c r="AN109" s="1436"/>
      <c r="AO109" s="1436"/>
      <c r="AP109" s="1436"/>
      <c r="AQ109" s="1436"/>
      <c r="AR109" s="1436"/>
      <c r="AS109" s="1436"/>
      <c r="AT109" s="1436"/>
      <c r="AU109" s="1436"/>
      <c r="AV109" s="1436"/>
      <c r="AW109" s="1436"/>
      <c r="AX109" s="1436"/>
      <c r="AY109" s="1436"/>
      <c r="AZ109" s="639"/>
    </row>
    <row r="110" spans="1:52" ht="13.5" customHeight="1" thickBot="1">
      <c r="A110" s="645"/>
      <c r="B110" s="1515" t="str">
        <f>VLOOKUP("Datum:",Translations!$A:$T,MATCH(Cover!DR19,Translations!A2:P2,0),0)</f>
        <v>Date</v>
      </c>
      <c r="C110" s="1515"/>
      <c r="D110" s="1515"/>
      <c r="E110" s="1515"/>
      <c r="F110" s="1515"/>
      <c r="G110" s="1515"/>
      <c r="H110" s="1515"/>
      <c r="I110" s="1515"/>
      <c r="J110" s="1515"/>
      <c r="K110" s="1515"/>
      <c r="L110" s="1515"/>
      <c r="M110" s="646"/>
      <c r="N110" s="646"/>
      <c r="O110" s="646"/>
      <c r="P110" s="646"/>
      <c r="Q110" s="646"/>
      <c r="R110" s="646"/>
      <c r="S110" s="646"/>
      <c r="T110" s="646"/>
      <c r="U110" s="646"/>
      <c r="V110" s="646"/>
      <c r="W110" s="646"/>
      <c r="X110" s="646"/>
      <c r="Y110" s="646"/>
      <c r="Z110" s="646"/>
      <c r="AA110" s="646"/>
      <c r="AB110" s="646"/>
      <c r="AC110" s="646"/>
      <c r="AD110" s="646"/>
      <c r="AE110" s="646"/>
      <c r="AF110" s="646"/>
      <c r="AG110" s="646"/>
      <c r="AH110" s="646"/>
      <c r="AI110" s="646"/>
      <c r="AJ110" s="646"/>
      <c r="AK110" s="646"/>
      <c r="AL110" s="646"/>
      <c r="AM110" s="1515" t="str">
        <f>VLOOKUP("Unterschrift:",Translations!$A:$T,MATCH(Cover!DR19,Translations!A2:P2,0),0)</f>
        <v>Signature</v>
      </c>
      <c r="AN110" s="1515"/>
      <c r="AO110" s="1515"/>
      <c r="AP110" s="1515"/>
      <c r="AQ110" s="1515"/>
      <c r="AR110" s="1515"/>
      <c r="AS110" s="1515"/>
      <c r="AT110" s="1515"/>
      <c r="AU110" s="1515"/>
      <c r="AV110" s="1515"/>
      <c r="AW110" s="1515"/>
      <c r="AX110" s="1515"/>
      <c r="AY110" s="1515"/>
      <c r="AZ110" s="647"/>
    </row>
    <row r="111" spans="1:52">
      <c r="A111" s="75"/>
      <c r="B111" s="75"/>
      <c r="C111" s="75"/>
      <c r="D111" s="75"/>
      <c r="E111" s="75"/>
      <c r="F111" s="75"/>
      <c r="G111" s="75"/>
      <c r="H111" s="75"/>
      <c r="I111" s="75"/>
      <c r="J111" s="75"/>
      <c r="K111" s="75"/>
      <c r="L111" s="75"/>
      <c r="M111" s="75"/>
      <c r="N111" s="75"/>
      <c r="O111" s="75"/>
    </row>
  </sheetData>
  <sheetProtection algorithmName="SHA-512" hashValue="GBweT1p5vLaKmc0EhIuWWZEygnQrCkyYYHBA0JUuJsapkqKyy3FZgeyGpXbqz0ZTRryBuuu3KI/6uw/BP/jIaQ==" saltValue="agLxBjZLjXqt6nSxalRciA==" spinCount="100000" sheet="1" scenarios="1" formatCells="0" formatColumns="0" formatRows="0" selectLockedCells="1"/>
  <mergeCells count="142">
    <mergeCell ref="B110:L110"/>
    <mergeCell ref="AM110:AY110"/>
    <mergeCell ref="B107:L109"/>
    <mergeCell ref="B106:L106"/>
    <mergeCell ref="AM107:AY109"/>
    <mergeCell ref="AM106:AY106"/>
    <mergeCell ref="A13:AZ14"/>
    <mergeCell ref="A4:O4"/>
    <mergeCell ref="A9:O9"/>
    <mergeCell ref="A5:O8"/>
    <mergeCell ref="A10:O12"/>
    <mergeCell ref="P4:AZ8"/>
    <mergeCell ref="P9:AZ12"/>
    <mergeCell ref="A16:AZ17"/>
    <mergeCell ref="A24:O26"/>
    <mergeCell ref="A18:O20"/>
    <mergeCell ref="A21:O23"/>
    <mergeCell ref="A27:O29"/>
    <mergeCell ref="P27:AZ29"/>
    <mergeCell ref="V33:AA35"/>
    <mergeCell ref="AB33:AG35"/>
    <mergeCell ref="AU33:AZ35"/>
    <mergeCell ref="AH33:AT35"/>
    <mergeCell ref="AC24:AM26"/>
    <mergeCell ref="A45:O47"/>
    <mergeCell ref="P45:U47"/>
    <mergeCell ref="V45:AA47"/>
    <mergeCell ref="AB45:AG47"/>
    <mergeCell ref="A31:AZ32"/>
    <mergeCell ref="A33:O35"/>
    <mergeCell ref="A36:O38"/>
    <mergeCell ref="P33:U35"/>
    <mergeCell ref="AC21:AM23"/>
    <mergeCell ref="AB24:AB26"/>
    <mergeCell ref="P36:U38"/>
    <mergeCell ref="A48:O50"/>
    <mergeCell ref="P48:U50"/>
    <mergeCell ref="V48:AA50"/>
    <mergeCell ref="AB48:AG50"/>
    <mergeCell ref="AH48:AT50"/>
    <mergeCell ref="AU48:AZ50"/>
    <mergeCell ref="AH45:AT47"/>
    <mergeCell ref="AU45:AZ47"/>
    <mergeCell ref="AH36:AT38"/>
    <mergeCell ref="AH39:AT41"/>
    <mergeCell ref="AH42:AT44"/>
    <mergeCell ref="AU36:AZ38"/>
    <mergeCell ref="AU39:AZ41"/>
    <mergeCell ref="AU42:AZ44"/>
    <mergeCell ref="A39:O41"/>
    <mergeCell ref="A42:O44"/>
    <mergeCell ref="P42:U44"/>
    <mergeCell ref="V42:AA44"/>
    <mergeCell ref="AB42:AG44"/>
    <mergeCell ref="P39:U41"/>
    <mergeCell ref="V36:AA38"/>
    <mergeCell ref="V39:AA41"/>
    <mergeCell ref="AB36:AG38"/>
    <mergeCell ref="AB39:AG41"/>
    <mergeCell ref="A63:O65"/>
    <mergeCell ref="P63:U65"/>
    <mergeCell ref="V63:AA65"/>
    <mergeCell ref="AB63:AG65"/>
    <mergeCell ref="AH63:AM65"/>
    <mergeCell ref="AN63:AS65"/>
    <mergeCell ref="A52:AZ53"/>
    <mergeCell ref="A54:O56"/>
    <mergeCell ref="P54:U56"/>
    <mergeCell ref="V54:AA56"/>
    <mergeCell ref="AB54:AG56"/>
    <mergeCell ref="AH54:AM56"/>
    <mergeCell ref="A60:O62"/>
    <mergeCell ref="P60:U62"/>
    <mergeCell ref="V60:AA62"/>
    <mergeCell ref="AB60:AG62"/>
    <mergeCell ref="A57:O59"/>
    <mergeCell ref="P57:U59"/>
    <mergeCell ref="V57:AA59"/>
    <mergeCell ref="AB57:AG59"/>
    <mergeCell ref="AT57:AZ59"/>
    <mergeCell ref="AH60:AM62"/>
    <mergeCell ref="AN60:AS62"/>
    <mergeCell ref="AT60:AZ62"/>
    <mergeCell ref="A69:O71"/>
    <mergeCell ref="P69:U71"/>
    <mergeCell ref="V69:AA71"/>
    <mergeCell ref="AB69:AG71"/>
    <mergeCell ref="AH69:AM71"/>
    <mergeCell ref="AN69:AS71"/>
    <mergeCell ref="AT69:AZ71"/>
    <mergeCell ref="A66:O68"/>
    <mergeCell ref="P66:U68"/>
    <mergeCell ref="V66:AA68"/>
    <mergeCell ref="AB66:AG68"/>
    <mergeCell ref="AH66:AM68"/>
    <mergeCell ref="AN66:AS68"/>
    <mergeCell ref="AT66:AZ68"/>
    <mergeCell ref="A99:O101"/>
    <mergeCell ref="A102:O104"/>
    <mergeCell ref="A73:AZ74"/>
    <mergeCell ref="A75:O77"/>
    <mergeCell ref="A78:O80"/>
    <mergeCell ref="P81:Q83"/>
    <mergeCell ref="R81:AZ83"/>
    <mergeCell ref="P84:Q86"/>
    <mergeCell ref="R84:AZ86"/>
    <mergeCell ref="A81:O98"/>
    <mergeCell ref="P87:Q89"/>
    <mergeCell ref="R87:AZ89"/>
    <mergeCell ref="P90:Q92"/>
    <mergeCell ref="R90:AZ92"/>
    <mergeCell ref="P93:Q95"/>
    <mergeCell ref="R93:AZ95"/>
    <mergeCell ref="P75:AZ77"/>
    <mergeCell ref="P78:Q80"/>
    <mergeCell ref="AI78:AJ80"/>
    <mergeCell ref="R78:AH80"/>
    <mergeCell ref="AK78:AZ80"/>
    <mergeCell ref="P102:AZ104"/>
    <mergeCell ref="P96:Q98"/>
    <mergeCell ref="R96:AZ98"/>
    <mergeCell ref="P99:AZ101"/>
    <mergeCell ref="AN54:AS56"/>
    <mergeCell ref="AT54:AZ56"/>
    <mergeCell ref="AH57:AM59"/>
    <mergeCell ref="AN57:AS59"/>
    <mergeCell ref="P18:P20"/>
    <mergeCell ref="Q18:AA20"/>
    <mergeCell ref="P21:P23"/>
    <mergeCell ref="Q21:AA23"/>
    <mergeCell ref="P24:P26"/>
    <mergeCell ref="Q24:AA26"/>
    <mergeCell ref="AB18:AB20"/>
    <mergeCell ref="AC18:AM20"/>
    <mergeCell ref="AB21:AB23"/>
    <mergeCell ref="AT63:AZ65"/>
    <mergeCell ref="AN18:AN20"/>
    <mergeCell ref="AO18:AZ20"/>
    <mergeCell ref="AN21:AN23"/>
    <mergeCell ref="AO21:AZ23"/>
    <mergeCell ref="AN24:AN26"/>
    <mergeCell ref="AO24:AZ26"/>
  </mergeCells>
  <pageMargins left="0.51181102362204722" right="0.43307086614173229" top="0.55118110236220474" bottom="0.39370078740157483" header="0.23622047244094491" footer="0.19685039370078741"/>
  <pageSetup paperSize="9" scale="53" fitToHeight="0" orientation="portrait" r:id="rId1"/>
  <headerFooter>
    <oddHeader>&amp;R&amp;G</oddHeader>
    <oddFooter>&amp;LMHG-PU-F-0019&amp;CPPA-Template ; Rev.: 02/2018&amp;RJ.-U. Liedtke / PU-SD-GA</oddFooter>
  </headerFooter>
  <legacyDrawingHF r:id="rId2"/>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19</vt:i4>
      </vt:variant>
      <vt:variant>
        <vt:lpstr>Benannte Bereiche</vt:lpstr>
      </vt:variant>
      <vt:variant>
        <vt:i4>4</vt:i4>
      </vt:variant>
    </vt:vector>
  </HeadingPairs>
  <TitlesOfParts>
    <vt:vector size="23" baseType="lpstr">
      <vt:lpstr>Rules for PPA</vt:lpstr>
      <vt:lpstr>Cover</vt:lpstr>
      <vt:lpstr>Content</vt:lpstr>
      <vt:lpstr>Product</vt:lpstr>
      <vt:lpstr>P-FMEA</vt:lpstr>
      <vt:lpstr>Process Capability</vt:lpstr>
      <vt:lpstr>Measurement Equipment</vt:lpstr>
      <vt:lpstr>Softwareprüfbericht Blatt1</vt:lpstr>
      <vt:lpstr>Softwareprüfbericht Blatt2</vt:lpstr>
      <vt:lpstr>Softwareprüfbericht Blatt3</vt:lpstr>
      <vt:lpstr>Tool List</vt:lpstr>
      <vt:lpstr>Capacity Confirmation</vt:lpstr>
      <vt:lpstr>Self Assessment Process</vt:lpstr>
      <vt:lpstr>Self Assessment Product</vt:lpstr>
      <vt:lpstr>Part History</vt:lpstr>
      <vt:lpstr>Packaging</vt:lpstr>
      <vt:lpstr>PPA Status Supply Chain</vt:lpstr>
      <vt:lpstr>Anlage 7</vt:lpstr>
      <vt:lpstr>Translations</vt:lpstr>
      <vt:lpstr>Cover!Druckbereich</vt:lpstr>
      <vt:lpstr>'Part History'!Druckbereich</vt:lpstr>
      <vt:lpstr>'Process Capability'!Druckbereich</vt:lpstr>
      <vt:lpstr>'Softwareprüfbericht Blatt1'!Druckbereich</vt:lpstr>
    </vt:vector>
  </TitlesOfParts>
  <Company>MANN+HUMMEL GmbH</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Mário Kajan</dc:creator>
  <cp:lastModifiedBy>Liedtke, Jens-Uwe</cp:lastModifiedBy>
  <cp:lastPrinted>2019-01-09T17:20:37Z</cp:lastPrinted>
  <dcterms:created xsi:type="dcterms:W3CDTF">2013-09-02T06:09:20Z</dcterms:created>
  <dcterms:modified xsi:type="dcterms:W3CDTF">2019-01-29T13:30:41Z</dcterms:modified>
</cp:coreProperties>
</file>